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firstSheet="1" activeTab="1"/>
  </bookViews>
  <sheets>
    <sheet name="MeasureTable - PrePart Load Adj" sheetId="1" r:id="rId1"/>
    <sheet name="MeasureTable" sheetId="2" r:id="rId2"/>
    <sheet name="ProData" sheetId="3" r:id="rId3"/>
    <sheet name="CAC and HP Upgrades" sheetId="4" r:id="rId4"/>
    <sheet name="CAC &amp; HP Use &amp; Savings" sheetId="5" r:id="rId5"/>
    <sheet name="Central AC and HP Cost vs SEER" sheetId="6" r:id="rId6"/>
    <sheet name="SGC SubMetered Use " sheetId="7" r:id="rId7"/>
    <sheet name="LookupTable" sheetId="8" r:id="rId8"/>
  </sheets>
  <externalReferences>
    <externalReference r:id="rId11"/>
    <externalReference r:id="rId12"/>
    <externalReference r:id="rId13"/>
  </externalReferences>
  <definedNames>
    <definedName name="_Key1" hidden="1">#REF!</definedName>
    <definedName name="_Order1" hidden="1">255</definedName>
    <definedName name="_Sort" hidden="1">#REF!</definedName>
    <definedName name="AdminRate">'ProData'!$B$19</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OMShr1">'ProData'!$B$11</definedName>
    <definedName name="PC_Main" localSheetId="0">'MeasureTable - PrePart Load Adj'!PC_Main</definedName>
    <definedName name="PC_Main">[0]!PC_Main</definedName>
    <definedName name="_xlnm.Print_Area" localSheetId="3">'CAC and HP Upgrades'!#REF!</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3.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comments4.xml><?xml version="1.0" encoding="utf-8"?>
<comments xmlns="http://schemas.openxmlformats.org/spreadsheetml/2006/main">
  <authors>
    <author>Tom Eckman</author>
  </authors>
  <commentList>
    <comment ref="D6" authorId="0">
      <text>
        <r>
          <rPr>
            <b/>
            <sz val="8"/>
            <rFont val="Tahoma"/>
            <family val="0"/>
          </rPr>
          <t>Tom Eckman:</t>
        </r>
        <r>
          <rPr>
            <sz val="8"/>
            <rFont val="Tahoma"/>
            <family val="0"/>
          </rPr>
          <t xml:space="preserve">
Based on DOE Central Air Conditioner and Heat Pump Standards ANOPR
</t>
        </r>
      </text>
    </comment>
    <comment ref="E6" authorId="0">
      <text>
        <r>
          <rPr>
            <b/>
            <sz val="8"/>
            <rFont val="Tahoma"/>
            <family val="0"/>
          </rPr>
          <t>Tom Eckman:</t>
        </r>
        <r>
          <rPr>
            <sz val="8"/>
            <rFont val="Tahoma"/>
            <family val="0"/>
          </rPr>
          <t xml:space="preserve">
Incremental Cost over SEER 11</t>
        </r>
      </text>
    </comment>
    <comment ref="J19" authorId="0">
      <text>
        <r>
          <rPr>
            <b/>
            <sz val="6"/>
            <rFont val="Tahoma"/>
            <family val="0"/>
          </rPr>
          <t>Tom Eckman:</t>
        </r>
        <r>
          <rPr>
            <sz val="6"/>
            <rFont val="Tahoma"/>
            <family val="0"/>
          </rPr>
          <t xml:space="preserve">
Source: Central Air Conditioner and Heat Pump Standards Technical Support Document, June 2000</t>
        </r>
      </text>
    </comment>
    <comment ref="F19" authorId="0">
      <text>
        <r>
          <rPr>
            <b/>
            <sz val="10"/>
            <rFont val="Tahoma"/>
            <family val="2"/>
          </rPr>
          <t>Tom Eckman: Based on DOE estimate of annual maintenance cost supplied by ARI.</t>
        </r>
        <r>
          <rPr>
            <sz val="8"/>
            <rFont val="Tahoma"/>
            <family val="0"/>
          </rPr>
          <t xml:space="preserve">
</t>
        </r>
      </text>
    </comment>
    <comment ref="D19" authorId="0">
      <text>
        <r>
          <rPr>
            <b/>
            <sz val="8"/>
            <rFont val="Tahoma"/>
            <family val="0"/>
          </rPr>
          <t>Tom Eckman:</t>
        </r>
        <r>
          <rPr>
            <sz val="8"/>
            <rFont val="Tahoma"/>
            <family val="0"/>
          </rPr>
          <t xml:space="preserve">
Base on DOE ANOPR</t>
        </r>
      </text>
    </comment>
    <comment ref="J15" authorId="0">
      <text>
        <r>
          <rPr>
            <b/>
            <sz val="6"/>
            <rFont val="Tahoma"/>
            <family val="0"/>
          </rPr>
          <t>Tom Eckman:</t>
        </r>
        <r>
          <rPr>
            <sz val="6"/>
            <rFont val="Tahoma"/>
            <family val="0"/>
          </rPr>
          <t xml:space="preserve">
Source: Central Air Conditioner and Heat Pump Standards Technical Support Document, June 2000</t>
        </r>
      </text>
    </comment>
    <comment ref="F15" authorId="0">
      <text>
        <r>
          <rPr>
            <b/>
            <sz val="10"/>
            <rFont val="Tahoma"/>
            <family val="2"/>
          </rPr>
          <t>Tom Eckman: Based on DOE estimate of annual maintenance cost supplied by ARI.</t>
        </r>
        <r>
          <rPr>
            <sz val="8"/>
            <rFont val="Tahoma"/>
            <family val="0"/>
          </rPr>
          <t xml:space="preserve">
</t>
        </r>
      </text>
    </comment>
    <comment ref="E15" authorId="0">
      <text>
        <r>
          <rPr>
            <b/>
            <sz val="8"/>
            <rFont val="Tahoma"/>
            <family val="0"/>
          </rPr>
          <t>Tom Eckman:</t>
        </r>
        <r>
          <rPr>
            <sz val="8"/>
            <rFont val="Tahoma"/>
            <family val="0"/>
          </rPr>
          <t xml:space="preserve">
Based on DOE Central Air Condtioner and Heat Pump SANOPR, as revised 6/2000.</t>
        </r>
      </text>
    </comment>
    <comment ref="D15" authorId="0">
      <text>
        <r>
          <rPr>
            <b/>
            <sz val="8"/>
            <rFont val="Tahoma"/>
            <family val="0"/>
          </rPr>
          <t>Tom Eckman:</t>
        </r>
        <r>
          <rPr>
            <sz val="8"/>
            <rFont val="Tahoma"/>
            <family val="0"/>
          </rPr>
          <t xml:space="preserve">
Base on DOE ANOPR</t>
        </r>
      </text>
    </comment>
    <comment ref="E17" authorId="0">
      <text>
        <r>
          <rPr>
            <b/>
            <sz val="8"/>
            <rFont val="Tahoma"/>
            <family val="0"/>
          </rPr>
          <t>Tom Eckman:</t>
        </r>
        <r>
          <rPr>
            <sz val="8"/>
            <rFont val="Tahoma"/>
            <family val="0"/>
          </rPr>
          <t xml:space="preserve">
Based on DOE Central Air Condtioner and Heat Pump SANOPR, as revised 6/2000.</t>
        </r>
      </text>
    </comment>
    <comment ref="E19" authorId="0">
      <text>
        <r>
          <rPr>
            <b/>
            <sz val="8"/>
            <rFont val="Tahoma"/>
            <family val="0"/>
          </rPr>
          <t>Tom Eckman:</t>
        </r>
        <r>
          <rPr>
            <sz val="8"/>
            <rFont val="Tahoma"/>
            <family val="0"/>
          </rPr>
          <t xml:space="preserve">
Based on DOE Central Air Condtioner and Heat Pump SANOPR, as revised 6/2000.</t>
        </r>
      </text>
    </comment>
    <comment ref="E33" authorId="0">
      <text>
        <r>
          <rPr>
            <b/>
            <sz val="8"/>
            <rFont val="Tahoma"/>
            <family val="0"/>
          </rPr>
          <t>Tom Eckman:</t>
        </r>
        <r>
          <rPr>
            <sz val="8"/>
            <rFont val="Tahoma"/>
            <family val="0"/>
          </rPr>
          <t xml:space="preserve">
Based on DOE Central Air Condtioner and Heat Pump SANOPR, as revised 6/2000.</t>
        </r>
      </text>
    </comment>
    <comment ref="E35" authorId="0">
      <text>
        <r>
          <rPr>
            <b/>
            <sz val="8"/>
            <rFont val="Tahoma"/>
            <family val="0"/>
          </rPr>
          <t>Tom Eckman:</t>
        </r>
        <r>
          <rPr>
            <sz val="8"/>
            <rFont val="Tahoma"/>
            <family val="0"/>
          </rPr>
          <t xml:space="preserve">
Based on DOE Central Air Condtioner and Heat Pump SANOPR, as revised 6/2000.</t>
        </r>
      </text>
    </comment>
    <comment ref="E37" authorId="0">
      <text>
        <r>
          <rPr>
            <b/>
            <sz val="8"/>
            <rFont val="Tahoma"/>
            <family val="0"/>
          </rPr>
          <t>Tom Eckman:</t>
        </r>
        <r>
          <rPr>
            <sz val="8"/>
            <rFont val="Tahoma"/>
            <family val="0"/>
          </rPr>
          <t xml:space="preserve">
Based on DOE Central Air Condtioner and Heat Pump SANOPR, as revised 6/2000.</t>
        </r>
      </text>
    </comment>
    <comment ref="E51" authorId="0">
      <text>
        <r>
          <rPr>
            <b/>
            <sz val="8"/>
            <rFont val="Tahoma"/>
            <family val="0"/>
          </rPr>
          <t>Tom Eckman:</t>
        </r>
        <r>
          <rPr>
            <sz val="8"/>
            <rFont val="Tahoma"/>
            <family val="0"/>
          </rPr>
          <t xml:space="preserve">
Based on DOE Central Air Condtioner and Heat Pump SANOPR, as revised 6/2000.</t>
        </r>
      </text>
    </comment>
    <comment ref="E53" authorId="0">
      <text>
        <r>
          <rPr>
            <b/>
            <sz val="8"/>
            <rFont val="Tahoma"/>
            <family val="0"/>
          </rPr>
          <t>Tom Eckman:</t>
        </r>
        <r>
          <rPr>
            <sz val="8"/>
            <rFont val="Tahoma"/>
            <family val="0"/>
          </rPr>
          <t xml:space="preserve">
Based on DOE Central Air Condtioner and Heat Pump SANOPR, as revised 6/2000.</t>
        </r>
      </text>
    </comment>
    <comment ref="E55" authorId="0">
      <text>
        <r>
          <rPr>
            <b/>
            <sz val="8"/>
            <rFont val="Tahoma"/>
            <family val="0"/>
          </rPr>
          <t>Tom Eckman:</t>
        </r>
        <r>
          <rPr>
            <sz val="8"/>
            <rFont val="Tahoma"/>
            <family val="0"/>
          </rPr>
          <t xml:space="preserve">
Based on DOE Central Air Condtioner and Heat Pump SANOPR, as revised 6/2000.</t>
        </r>
      </text>
    </comment>
  </commentList>
</comments>
</file>

<file path=xl/comments5.xml><?xml version="1.0" encoding="utf-8"?>
<comments xmlns="http://schemas.openxmlformats.org/spreadsheetml/2006/main">
  <authors>
    <author>Tom Eckman</author>
  </authors>
  <commentList>
    <comment ref="H73" authorId="0">
      <text>
        <r>
          <rPr>
            <b/>
            <sz val="10"/>
            <rFont val="Tahoma"/>
            <family val="2"/>
          </rPr>
          <t>Tom Eckman: SGC metered use for Heat Pumps in Zone 1 averaged 3.6 kWh/sf/yr for combined heating and cooling use. See SGC SubMetered Use tab. This makes savings estimate conservative. Ecotope baseline study estimated HP homes in WA use 2.6 kWh and OR use 2.2 kWh/sf/yr. Base case average total space conditioning use for Zone 1 is 2.4 kWh/sf/yr asssuming HSPF 6.8 and SEER 10.</t>
        </r>
      </text>
    </comment>
    <comment ref="I73" authorId="0">
      <text>
        <r>
          <rPr>
            <b/>
            <sz val="10"/>
            <rFont val="Tahoma"/>
            <family val="2"/>
          </rPr>
          <t>Tom Eckman: SGC metered use for Heat Pumps in Zone 2 averaged 3.4 kWh/sf/yr. See SGC SubMetered Use tab. Base case total space conditioning use for Zone 2 is 3.2 kWh/Sf/yr with HSPF 6.8 and SEER 10.</t>
        </r>
        <r>
          <rPr>
            <sz val="8"/>
            <rFont val="Tahoma"/>
            <family val="0"/>
          </rPr>
          <t xml:space="preserve">
</t>
        </r>
      </text>
    </comment>
  </commentList>
</comments>
</file>

<file path=xl/sharedStrings.xml><?xml version="1.0" encoding="utf-8"?>
<sst xmlns="http://schemas.openxmlformats.org/spreadsheetml/2006/main" count="1838" uniqueCount="509">
  <si>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</si>
  <si>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</si>
  <si>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</si>
  <si>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</si>
  <si>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</si>
  <si>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</si>
  <si>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</si>
  <si>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</si>
  <si>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</si>
  <si>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</si>
  <si>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</si>
  <si>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</si>
  <si>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</si>
  <si>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</si>
  <si>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</si>
  <si>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</si>
  <si>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</si>
  <si>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</si>
  <si>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</si>
  <si>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</si>
  <si>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</si>
  <si>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</si>
  <si>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</si>
  <si>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</si>
  <si>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</si>
  <si>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</si>
  <si>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</si>
  <si>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</si>
  <si>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</si>
  <si>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</si>
  <si>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</si>
  <si>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</si>
  <si>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</si>
  <si>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</si>
  <si>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</si>
  <si>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</si>
  <si>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</si>
  <si>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</si>
  <si>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</si>
  <si>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</si>
  <si>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</si>
  <si>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</si>
  <si>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</si>
  <si>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</si>
  <si>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</si>
  <si>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</si>
  <si>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</si>
  <si>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</si>
  <si>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</si>
  <si>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</si>
  <si>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</si>
  <si>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</si>
  <si>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</si>
  <si>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</si>
  <si>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</si>
  <si>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</si>
  <si>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</si>
  <si>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</si>
  <si>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</si>
  <si>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</si>
  <si>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</si>
  <si>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</si>
  <si>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</si>
  <si>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</si>
  <si>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</si>
  <si>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</si>
  <si>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</si>
  <si>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</si>
  <si>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</si>
  <si>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</si>
  <si>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</si>
  <si>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</si>
  <si>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</si>
  <si>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</si>
  <si>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</si>
  <si>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</si>
  <si>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</si>
  <si>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</si>
  <si>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</si>
  <si>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</si>
  <si>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</si>
  <si>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</si>
  <si>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</si>
  <si>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</si>
  <si>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</si>
  <si>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</si>
  <si>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</si>
  <si>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</si>
  <si>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</si>
  <si>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</si>
  <si>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</si>
  <si>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</si>
  <si>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</si>
  <si>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</si>
  <si>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</si>
  <si>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</si>
  <si>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</si>
  <si>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</si>
  <si>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</si>
  <si>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</si>
  <si>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</si>
  <si>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</si>
  <si>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</si>
  <si>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</si>
  <si>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</si>
  <si>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</si>
  <si>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</si>
  <si>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</si>
  <si>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</si>
  <si>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</si>
  <si>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</si>
  <si>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</si>
  <si>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</si>
  <si>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</si>
  <si>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</si>
  <si>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</si>
  <si>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</si>
  <si>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</si>
  <si>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</si>
  <si>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</si>
  <si>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</si>
  <si>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</si>
  <si>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</si>
  <si>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</si>
  <si>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</si>
  <si>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</si>
  <si>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</si>
  <si>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</si>
  <si>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</si>
  <si>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</si>
  <si>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</si>
  <si>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</si>
  <si>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</si>
  <si>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</si>
  <si>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</si>
  <si>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</si>
  <si>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</si>
  <si>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</si>
  <si>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</si>
  <si>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</si>
  <si>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</si>
  <si>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</si>
  <si>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</si>
  <si>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</si>
  <si>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</si>
  <si>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</si>
  <si>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</si>
  <si>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</si>
  <si>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</si>
  <si>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</si>
  <si>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</si>
  <si>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</si>
  <si>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</si>
  <si>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</si>
  <si>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MeasureTable</t>
  </si>
  <si>
    <t>Conservation Load Shapes</t>
  </si>
  <si>
    <t>Heating Zone 3 - Cooling Zone 3</t>
  </si>
  <si>
    <t>Deemed</t>
  </si>
  <si>
    <t>Increased comfort</t>
  </si>
  <si>
    <t>Reduced environmental impacts from electricity generation</t>
  </si>
  <si>
    <t>The Environmental Protection Agency maintains a list of qualifying Energy Star models at www.epa.gov/energystar</t>
  </si>
  <si>
    <t>The Department of Energy revised its standards for central air conditioners and heat pumps. These standards will require a minimum SEER 13 and HSPF 7.7 effective January 21, 2006.</t>
  </si>
  <si>
    <t>Heating Zone 2 - Cooling Zone 3</t>
  </si>
  <si>
    <t>Heating Zone 2 - Cooling Zone 2</t>
  </si>
  <si>
    <t>Heating Zone 1 - Cooling Zone 3</t>
  </si>
  <si>
    <t>Heating Zone 1 - Cooling Zone 2</t>
  </si>
  <si>
    <t>Heating Zone 1 - Cooling Zone 1</t>
  </si>
  <si>
    <t>Cooling Zone 3</t>
  </si>
  <si>
    <t>Cooling Zone 2</t>
  </si>
  <si>
    <t>Cooling Zone 1</t>
  </si>
  <si>
    <t>Savings (kwh/yr)</t>
  </si>
  <si>
    <t>Phys Life (yrs)</t>
  </si>
  <si>
    <t>Non-E Val ($/yr)</t>
  </si>
  <si>
    <t>ResCACZ1</t>
  </si>
  <si>
    <t>ResCACZ2</t>
  </si>
  <si>
    <t>ResCACZ3</t>
  </si>
  <si>
    <t>ResSpHtHPZ1</t>
  </si>
  <si>
    <t>ResSpHtHPZ2</t>
  </si>
  <si>
    <t>ResSpHtHPZ3</t>
  </si>
  <si>
    <t>Central Air Conditioner and Heat Pump Use Assumptions</t>
  </si>
  <si>
    <t>User Inputs=&gt;</t>
  </si>
  <si>
    <t>Portland</t>
  </si>
  <si>
    <t>Seattle</t>
  </si>
  <si>
    <t>Boise</t>
  </si>
  <si>
    <t>Spokane</t>
  </si>
  <si>
    <t>Missoula</t>
  </si>
  <si>
    <t>Region</t>
  </si>
  <si>
    <t>Calculated=&gt;</t>
  </si>
  <si>
    <t>Regional Weight - Heating</t>
  </si>
  <si>
    <t>Heating Zone 1</t>
  </si>
  <si>
    <t>Heating Zone 2</t>
  </si>
  <si>
    <t>Heating Zone 3</t>
  </si>
  <si>
    <t>Zone Weights</t>
  </si>
  <si>
    <t>Zone 1</t>
  </si>
  <si>
    <t>Zone 2</t>
  </si>
  <si>
    <t>Zone 3</t>
  </si>
  <si>
    <t>Heat Degree Days*</t>
  </si>
  <si>
    <t>Regional Weight - Cooling</t>
  </si>
  <si>
    <t>Cooling Degree Hours*</t>
  </si>
  <si>
    <t>*Computed from hourly temperatures using SUNCODE &amp; TMY2 Weather Files</t>
  </si>
  <si>
    <t>Base Case Central AC Use</t>
  </si>
  <si>
    <t>Annual Space Cooling Use (kWh/yr) w/SEER =&gt;</t>
  </si>
  <si>
    <t>Building Type</t>
  </si>
  <si>
    <t>Cooling Zone  2</t>
  </si>
  <si>
    <t>Note: ELCAP CAC average metered use in Pre80 Construction = 1014 kWh/yr</t>
  </si>
  <si>
    <t>With SEER = 10, Pre80 CAC Regional Avg. Use = 1015 kWh/yr.</t>
  </si>
  <si>
    <t>*National sales weighted average SEER according to ARI data as reported by DOE in Central Air Conditioning and Heat Pump Standards NOPR.</t>
  </si>
  <si>
    <t>Upgrade Central AC Use</t>
  </si>
  <si>
    <t>Central AC Savings</t>
  </si>
  <si>
    <t>Annual Space Cooling Savings (kWh/yr) w/SEER =&gt;</t>
  </si>
  <si>
    <t>Base Case Electric Zonal Heat</t>
  </si>
  <si>
    <t>Annual Space Heating Use (kWh/yr) w/Zonal Heating</t>
  </si>
  <si>
    <t>Note: Post92 Construction Base Case zonal use calibrated</t>
  </si>
  <si>
    <t>to SGC submetered use of 3.1 kWh.sf for zone 1.</t>
  </si>
  <si>
    <t>Base Case Heat Pump Use</t>
  </si>
  <si>
    <t>Annual Space Heating Use (kWh/yr) w/HSPF =&gt;</t>
  </si>
  <si>
    <t>*National sales weighted average HSPF according to ARI data as reported by DOE in Central Air Conditioning and Heat Pump Standards NOPR.</t>
  </si>
  <si>
    <t>Upgrade Heat Pump Use</t>
  </si>
  <si>
    <t>Heat Pump Upgrade Savings</t>
  </si>
  <si>
    <t>Space Heating Savings (kWh/yr) w/HSPF =&gt;</t>
  </si>
  <si>
    <t>Base Case Heat Pump Total Space Conditioning Use</t>
  </si>
  <si>
    <t>Annual Space Conditioning Use) w/HSPF =&gt;</t>
  </si>
  <si>
    <t>w/SEER =&gt;</t>
  </si>
  <si>
    <t>Post92 kWh/SF</t>
  </si>
  <si>
    <t>Heat Pump Upgrade Total Space Conditioning Use</t>
  </si>
  <si>
    <t>Heat Pump Upgrade Total Space Conditioning Savings</t>
  </si>
  <si>
    <t>Annual Loads</t>
  </si>
  <si>
    <t>Space Heating Load (kWh/yr)*</t>
  </si>
  <si>
    <t>Space Cooling Load (kWh/yr)</t>
  </si>
  <si>
    <t>Base Case System Efficiency</t>
  </si>
  <si>
    <t>Heating (HSPF)</t>
  </si>
  <si>
    <t>Heating (COP)</t>
  </si>
  <si>
    <t>Cooling (SEER)</t>
  </si>
  <si>
    <t>Duct (%)*</t>
  </si>
  <si>
    <t>*Source:Ecotope NEEA Baseline Study</t>
  </si>
  <si>
    <t>Upgrade Case System Efficiency</t>
  </si>
  <si>
    <t>Base Case Annual Energy Use</t>
  </si>
  <si>
    <t>Space Heating Use (kWh/yr)</t>
  </si>
  <si>
    <t>Space Cooling Use (kWh/yr)</t>
  </si>
  <si>
    <t>Space Heating Use (kWh/sq.ft./yr)</t>
  </si>
  <si>
    <t>Space Cooling Use (kWh/sq.ft./yr)</t>
  </si>
  <si>
    <t>Total Space Conditioning Use (kWh/yr)</t>
  </si>
  <si>
    <t>Total Space Conditioning Use (kWh/sq.ft./yr)</t>
  </si>
  <si>
    <t>Upgrade Case Annual Energy Use</t>
  </si>
  <si>
    <t>Nominal HSPF</t>
  </si>
  <si>
    <t>Nominal SEER</t>
  </si>
  <si>
    <t>Base Case Duct Efficiency Assumptions</t>
  </si>
  <si>
    <t>Existing MH</t>
  </si>
  <si>
    <t>New MH (non-SGC)</t>
  </si>
  <si>
    <t>New MH (SGC)</t>
  </si>
  <si>
    <t>Sources:</t>
  </si>
  <si>
    <t>New SF Construction - Ecotope Baseline Study for Alliance</t>
  </si>
  <si>
    <t xml:space="preserve">Existing SF - RCDP </t>
  </si>
  <si>
    <t>Existing MH - RCDP</t>
  </si>
  <si>
    <t>New SGC MH - Ecotope Study for IDWR</t>
  </si>
  <si>
    <t>Upgrade Duct Efficiency Assumptions</t>
  </si>
  <si>
    <t>Eff Gain</t>
  </si>
  <si>
    <t>Duct System Efficiency Improvement Calibrated to Match Savings</t>
  </si>
  <si>
    <t>Assmptions for PTCS. See PTCS Cost &amp; Savings Estimate Tab</t>
  </si>
  <si>
    <t>State</t>
  </si>
  <si>
    <t>Degree Days</t>
  </si>
  <si>
    <t>Idaho</t>
  </si>
  <si>
    <t xml:space="preserve">  Boise</t>
  </si>
  <si>
    <t xml:space="preserve">  Other</t>
  </si>
  <si>
    <t>Montana</t>
  </si>
  <si>
    <t>Oregon</t>
  </si>
  <si>
    <t>Washington</t>
  </si>
  <si>
    <t xml:space="preserve">  Zone One</t>
  </si>
  <si>
    <t xml:space="preserve">  Zone Two</t>
  </si>
  <si>
    <t>Annual Space Heating Use w/o Heating System &amp; Duct Efficiency*</t>
  </si>
  <si>
    <t>Current Practice</t>
  </si>
  <si>
    <t>Code Minimum</t>
  </si>
  <si>
    <t>Electric (kWh)</t>
  </si>
  <si>
    <t>Heat Pump (kWh)</t>
  </si>
  <si>
    <t>Electric (kWh/SF)</t>
  </si>
  <si>
    <t>Heat Pump (kWh/SF)</t>
  </si>
  <si>
    <t>Annual Space Heating Use w/Heating System &amp; Duct Efficiency*</t>
  </si>
  <si>
    <t>Electric</t>
  </si>
  <si>
    <t>Heat Pump**</t>
  </si>
  <si>
    <t>KWH</t>
  </si>
  <si>
    <t>KWH/ft2</t>
  </si>
  <si>
    <t>Assumes HSPF 7.4</t>
  </si>
  <si>
    <t>Average House Size*</t>
  </si>
  <si>
    <t>Gas</t>
  </si>
  <si>
    <t>Heat Pump</t>
  </si>
  <si>
    <t>sq. ft.</t>
  </si>
  <si>
    <t>Source: Baseline Characteristics of the Residential Sector in Idaho, Montana, Oregon &amp; Washington</t>
  </si>
  <si>
    <t>Ecotope, Inc. for the Northwest Energy Efficiency Alliance</t>
  </si>
  <si>
    <t>February, 2000</t>
  </si>
  <si>
    <t xml:space="preserve">Benton County PUD Heat Pump Program Savings Results from PRISM </t>
  </si>
  <si>
    <t>Average House Size = &gt;</t>
  </si>
  <si>
    <t>Total (kWh/yr)</t>
  </si>
  <si>
    <t>kwh/sf</t>
  </si>
  <si>
    <t>All High Efficiency Conversions (HSPF 8.0)</t>
  </si>
  <si>
    <t>All High Efficiency Conversions (HSPF 8.0) from FAF w/AC</t>
  </si>
  <si>
    <t>All High Efficiency Conversions (HSPF 8.0) from Zonal w/o AC</t>
  </si>
  <si>
    <t xml:space="preserve"> </t>
  </si>
  <si>
    <t>Air Source Heat Pump and Central Air Conditioner Retail Prices</t>
  </si>
  <si>
    <t>Site Built Housing</t>
  </si>
  <si>
    <t>Heat Pump w/ Outdoor Unit, Indoor Coil, Electric, Thermostat Installed wo/ Ductwork.</t>
  </si>
  <si>
    <t>Price Range</t>
  </si>
  <si>
    <t>Incremental Cost</t>
  </si>
  <si>
    <t>Outdoor Unit Model Number</t>
  </si>
  <si>
    <t>Capacity (tons)</t>
  </si>
  <si>
    <t>HSPF</t>
  </si>
  <si>
    <t>SEER</t>
  </si>
  <si>
    <t>Low</t>
  </si>
  <si>
    <t>High</t>
  </si>
  <si>
    <t>HP 29 030</t>
  </si>
  <si>
    <t>HP 29 036</t>
  </si>
  <si>
    <t>HP 29 042</t>
  </si>
  <si>
    <t>HP 29 048</t>
  </si>
  <si>
    <t>HP 26 030</t>
  </si>
  <si>
    <t>HP 26 036</t>
  </si>
  <si>
    <t>HP 26 042</t>
  </si>
  <si>
    <t>HP 26 048</t>
  </si>
  <si>
    <t xml:space="preserve">Equipment Brand    Lennox     </t>
  </si>
  <si>
    <t>Central Air w/ Outdoor Unit, Indoor Coil, Elec. Furnace, Thermostat Installed wo/ Ductwork.</t>
  </si>
  <si>
    <t>10 ACB 030</t>
  </si>
  <si>
    <t>10 ACB 036</t>
  </si>
  <si>
    <t>10 ACB 042</t>
  </si>
  <si>
    <t>10 ACB 048</t>
  </si>
  <si>
    <t>HS 29 030</t>
  </si>
  <si>
    <t>HS 29 036</t>
  </si>
  <si>
    <t>HS 29 042</t>
  </si>
  <si>
    <t>HS 29 048</t>
  </si>
  <si>
    <t>HS 26 030</t>
  </si>
  <si>
    <t>HS 26 036</t>
  </si>
  <si>
    <t>HS 26 042</t>
  </si>
  <si>
    <t>HS 26 048</t>
  </si>
  <si>
    <t>Source:Personal Communication William Gatchell, Umatilla Electric Cooperative with Campbell &amp; Bruce Refrigeration in Hermiston, OR (5/11/00)</t>
  </si>
  <si>
    <t>Manufactured Housing</t>
  </si>
  <si>
    <t>Central AC (10 SEER)</t>
  </si>
  <si>
    <t>Capacity</t>
  </si>
  <si>
    <t>Installed Cost</t>
  </si>
  <si>
    <t>3-Ton</t>
  </si>
  <si>
    <t>3.5 - Ton</t>
  </si>
  <si>
    <t>4-Ton</t>
  </si>
  <si>
    <t>Heat Pump w/6.8 HSPF &amp; 10 SEER AC</t>
  </si>
  <si>
    <t>Heat Pump w/ 8.0 HSPF &amp; 12 SEER AC</t>
  </si>
  <si>
    <t>Source: Art Berger, Valley Homes, Yakima, WA</t>
  </si>
  <si>
    <t>Level</t>
  </si>
  <si>
    <t>Description</t>
  </si>
  <si>
    <t>SEER (Btu/Whr)</t>
  </si>
  <si>
    <t>HPSF (Btu/Whr)</t>
  </si>
  <si>
    <t>% Change over Base Case SEER</t>
  </si>
  <si>
    <t>Incremental Repair &amp; Maintenance Cost</t>
  </si>
  <si>
    <t>Compressor Replacement Cost</t>
  </si>
  <si>
    <t>Incremental Compressor Replacement Cost</t>
  </si>
  <si>
    <t>Baseline (SEER=10)</t>
  </si>
  <si>
    <t>10% Impr. (SEER=11)</t>
  </si>
  <si>
    <t>20% Impr. (SEER=12)</t>
  </si>
  <si>
    <t>30% Impr. (SEER=13)</t>
  </si>
  <si>
    <t>40% Impr. (SEER=14)</t>
  </si>
  <si>
    <t>50% Impr. (SEER=15)</t>
  </si>
  <si>
    <t>SPLIT SYSTEM CENTRAL AIR CONDITIONERS:   COST AND EFFICIENCY DATA (REVERSE ENGINEERING) As Revised 6/2000</t>
  </si>
  <si>
    <t>% Improvement over Baseline SEER</t>
  </si>
  <si>
    <t>Current Practice*</t>
  </si>
  <si>
    <t>Super Good Cents Annual Electricity Use Based on Submetering</t>
  </si>
  <si>
    <t xml:space="preserve">Heating System Type </t>
  </si>
  <si>
    <t>Climate Zone</t>
  </si>
  <si>
    <t>Characteristic</t>
  </si>
  <si>
    <t>Forced-Air Furnace</t>
  </si>
  <si>
    <t>Zonal</t>
  </si>
  <si>
    <t>All</t>
  </si>
  <si>
    <t>Number of Homes</t>
  </si>
  <si>
    <t>Percent</t>
  </si>
  <si>
    <t>Average Size (sq.ft.)</t>
  </si>
  <si>
    <t>Average UA (Btu/F)</t>
  </si>
  <si>
    <t>Average UA/sq.ft. (Btu/F)</t>
  </si>
  <si>
    <t>Average Total Use (kWh/yr)</t>
  </si>
  <si>
    <t>Average Total Use (kWh/sq.ft./yr)</t>
  </si>
  <si>
    <t>Average Heating Use (kWh/yr)</t>
  </si>
  <si>
    <t>Average Heating Use (kWh/sq.ft./yr)</t>
  </si>
  <si>
    <t>Source: Bonneville's Super Good Cents Sub-Metering Project Data Set Through December 1990.</t>
  </si>
  <si>
    <t>CAC and HP Upgrades</t>
  </si>
  <si>
    <t>CAC &amp; HP Use &amp; Savings</t>
  </si>
  <si>
    <t>Central AC and HP Cost vs SEER</t>
  </si>
  <si>
    <t xml:space="preserve">SGC SubMetered Use </t>
  </si>
  <si>
    <t>Heating Zone 2 - Cooling Zone 1</t>
  </si>
  <si>
    <t>Heating Zone 3 - Cooling Zone 1</t>
  </si>
  <si>
    <t>Heating Zone 3 - Cooling Zone 2</t>
  </si>
  <si>
    <t>LookupTable</t>
  </si>
  <si>
    <t>Pre94 Manufactured Home</t>
  </si>
  <si>
    <t>Post93 Manufactured Home NonSGC</t>
  </si>
  <si>
    <t>SGC Manufactured Home</t>
  </si>
  <si>
    <t>Pre94 Manufactured Home (Fully WX)</t>
  </si>
  <si>
    <t>Pre94 Manufactured Home CAC Upgrade SEER w/PTCS - Cooling Zone 1</t>
  </si>
  <si>
    <t>Pre94 Manufactured Home CAC Upgrade SEER w/PTCS - Cooling Zone 2</t>
  </si>
  <si>
    <t>Pre94 Manufactured Home CAC Upgrade SEER w/PTCS - Cooling Zone 3</t>
  </si>
  <si>
    <t>Post93 Manufactured Home NonSGC CAC Upgrade SEER w/PTCS - Cooling Zone 1</t>
  </si>
  <si>
    <t>Post93 Manufactured Home NonSGC CAC Upgrade SEER w/PTCS - Cooling Zone 2</t>
  </si>
  <si>
    <t>Post93 Manufactured Home NonSGC CAC Upgrade SEER w/PTCS - Cooling Zone 3</t>
  </si>
  <si>
    <t>SGC Manufactured Home CAC Upgrade SEER w/PTCS - Cooling Zone 1</t>
  </si>
  <si>
    <t>SGC Manufactured Home CAC Upgrade SEER w/PTCS - Cooling Zone 2</t>
  </si>
  <si>
    <t>SGC Manufactured Home CAC Upgrade SEER w/PTCS - Cooling Zone 3</t>
  </si>
  <si>
    <t>Pre94 Manufactured Home HP Upgrade HSPF 8 w/PTCS - Cooling Zone 1</t>
  </si>
  <si>
    <t>Pre94 Manufactured Home CAC Upgrade SEER 12 w/PTCS - Cooling Zone 1</t>
  </si>
  <si>
    <t>Pre94 Manufactured Home HP Upgrade HSPF 8 w/PTCS - Cooling Zone 2</t>
  </si>
  <si>
    <t>Pre94 Manufactured Home CAC Upgrade SEER 12 w/PTCS - Cooling Zone 2</t>
  </si>
  <si>
    <t>Pre94 Manufactured Home HP Upgrade HSPF 8 w/PTCS - Cooling Zone 3</t>
  </si>
  <si>
    <t>Pre94 Manufactured Home CAC Upgrade SEER 12 w/PTCS - Cooling Zone 3</t>
  </si>
  <si>
    <t>Post93 Manufactured Home NonSGC HP Upgrade HSPF 8 w/PTCS - Cooling Zone 1</t>
  </si>
  <si>
    <t>Post93 Manufactured Home NonSGC CAC Upgrade SEER 12 w/PTCS - Cooling Zone 1</t>
  </si>
  <si>
    <t>Post93 Manufactured Home NonSGC HP Upgrade HSPF 8 w/PTCS - Cooling Zone 2</t>
  </si>
  <si>
    <t>Post93 Manufactured Home NonSGC CAC Upgrade SEER 12 w/PTCS - Cooling Zone 2</t>
  </si>
  <si>
    <t>Post93 Manufactured Home NonSGC HP Upgrade HSPF 8 w/PTCS - Cooling Zone 3</t>
  </si>
  <si>
    <t>Post93 Manufactured Home NonSGC CAC Upgrade SEER 12 w/PTCS - Cooling Zone 3</t>
  </si>
  <si>
    <t>SGC Manufactured Home HP Upgrade HSPF 8 w/PTCS - Cooling Zone 1</t>
  </si>
  <si>
    <t>SGC Manufactured Home CAC Upgrade SEER 12 w/PTCS - Cooling Zone 1</t>
  </si>
  <si>
    <t>SGC Manufactured Home HP Upgrade HSPF 8 w/PTCS - Cooling Zone 2</t>
  </si>
  <si>
    <t>SGC Manufactured Home CAC Upgrade SEER 12 w/PTCS - Cooling Zone 2</t>
  </si>
  <si>
    <t>SGC Manufactured Home HP Upgrade HSPF 8 w/PTCS - Cooling Zone 3</t>
  </si>
  <si>
    <t>SGC Manufactured Home CAC Upgrade SEER 12 w/PTCS - Cooling Zone 3</t>
  </si>
  <si>
    <t>Pre94 Manufactured Home HP Upgrade w/PTCS  - Zone 1 Heat - Zone 1 Cool</t>
  </si>
  <si>
    <t>Pre94 Manufactured Home HP Upgrade w/PTCS  - Zone 2 Heat - Zone 2 Cool</t>
  </si>
  <si>
    <t>Pre94 Manufactured Home HP Upgrade w/PTCS  - Zone 3 Heat - Zone 3 Cool</t>
  </si>
  <si>
    <t>Pre94 Manufactured Home HP Upgrade w/PTCS  - Zone 1 Heat - Zone 2 Cool</t>
  </si>
  <si>
    <t>Pre94 Manufactured Home HP Upgrade w/PTCS  - Zone 1 Heat - Zone 3 Cool</t>
  </si>
  <si>
    <t>Pre94 Manufactured Home HP Upgrade w/PTCS  - Zone 2 Heat - Zone 3 Cool</t>
  </si>
  <si>
    <t>Pre94 Manufactured Home HP Upgrade w/PTCS  - Zone 2 Heat - Zone 1 Cool</t>
  </si>
  <si>
    <t>Pre94 Manufactured Home HP Upgrade w/PTCS  - Zone 3 Heat - Zone 1 Cool</t>
  </si>
  <si>
    <t>Pre94 Manufactured Home HP Upgrade w/PTCS  - Zone 3 Heat - Zone 2 Cool</t>
  </si>
  <si>
    <t>Post93 Manufactured Home NonSGC HP Upgrade w/PTCS  - Zone 1 Heat - Zone 1 Cool</t>
  </si>
  <si>
    <t>Post93 Manufactured Home NonSGC HP Upgrade w/PTCS  - Zone 2 Heat - Zone 2 Cool</t>
  </si>
  <si>
    <t>Post93 Manufactured Home NonSGC HP Upgrade w/PTCS  - Zone 3 Heat - Zone 3 Cool</t>
  </si>
  <si>
    <t>Post93 Manufactured Home NonSGC HP Upgrade w/PTCS  - Zone 1 Heat - Zone 2 Cool</t>
  </si>
  <si>
    <t>Post93 Manufactured Home NonSGC HP Upgrade w/PTCS  - Zone 1 Heat - Zone 3 Cool</t>
  </si>
  <si>
    <t>Post93 Manufactured Home NonSGC HP Upgrade w/PTCS  - Zone 2 Heat - Zone 3 Cool</t>
  </si>
  <si>
    <t>Post93 Manufactured Home NonSGC HP Upgrade w/PTCS  - Zone 2 Heat - Zone 1 Cool</t>
  </si>
  <si>
    <t>Post93 Manufactured Home NonSGC HP Upgrade w/PTCS  - Zone 3 Heat - Zone 1 Cool</t>
  </si>
  <si>
    <t>Post93 Manufactured Home NonSGC HP Upgrade w/PTCS  - Zone 3 Heat - Zone 2 Cool</t>
  </si>
  <si>
    <t>SGC Manufactured Home HP Upgrade w/PTCS  - Zone 1 Heat - Zone 1 Cool</t>
  </si>
  <si>
    <t>SGC Manufactured Home HP Upgrade w/PTCS  - Zone 2 Heat - Zone 2 Cool</t>
  </si>
  <si>
    <t>SGC Manufactured Home HP Upgrade w/PTCS  - Zone 3 Heat - Zone 3 Cool</t>
  </si>
  <si>
    <t>SGC Manufactured Home HP Upgrade w/PTCS  - Zone 1 Heat - Zone 2 Cool</t>
  </si>
  <si>
    <t>SGC Manufactured Home HP Upgrade w/PTCS  - Zone 1 Heat - Zone 3 Cool</t>
  </si>
  <si>
    <t>SGC Manufactured Home HP Upgrade w/PTCS  - Zone 2 Heat - Zone 3 Cool</t>
  </si>
  <si>
    <t>SGC Manufactured Home HP Upgrade w/PTCS  - Zone 2 Heat - Zone 1 Cool</t>
  </si>
  <si>
    <t>SGC Manufactured Home HP Upgrade w/PTCS  - Zone 3 Heat - Zone 1 Cool</t>
  </si>
  <si>
    <t>SGC Manufactured Home HP Upgrade w/PTCS  - Zone 3 Heat - Zone 2 Cool</t>
  </si>
  <si>
    <t>Central AC &amp; HP Upgrade</t>
  </si>
  <si>
    <t>Manufactured Home with existing central air conditioning system built prior to 1994</t>
  </si>
  <si>
    <t>Non-Super Good Cents Manufactured Home with existing or proposed central air conditioning system built after 1993</t>
  </si>
  <si>
    <t>Super Good Cents Manufactured Home with existing or proposed central air conditioning system</t>
  </si>
  <si>
    <t>Central AC must be rated SEER 12 or higher and be installed in substantial compliance with  the applicable specifications for Air Source Heating Pump Installation provided in the RTF's Appendix H - "Air Source Heat Pump Installation Standards." Duct systems must be PTCS(tm) or equivalent certified.</t>
  </si>
  <si>
    <t xml:space="preserve">Heat Pump must be rated HSPF 8.0 and SEER 12 or higher and be installed in substantial compliance with  the applicable specifications for Air Source Heating Pump Installation provided in the RTF's Appendix H - "Air Source Heat Pump Installation Standards." Duct systems must be PTCS(tm) or equivalent certified. </t>
  </si>
  <si>
    <t>Duct Sealing</t>
  </si>
  <si>
    <t>Base Case Efficiency Equipment Assumptions</t>
  </si>
  <si>
    <t>Pre94 Manufactured Housing</t>
  </si>
  <si>
    <t>Real HSPF</t>
  </si>
  <si>
    <t>Real SEER</t>
  </si>
  <si>
    <t>Part Load HSPF Efficiency w/o PTCS</t>
  </si>
  <si>
    <t>Part Load HSPF Efficiency Rating w/PTCS</t>
  </si>
  <si>
    <t>Part Load SEER Efficiency w/o PTCS</t>
  </si>
  <si>
    <t>Part Load SEER Efficiency Rating w/PTCS</t>
  </si>
  <si>
    <t>High Efficiency Case Equipment Assumptions</t>
  </si>
  <si>
    <t>YES</t>
  </si>
  <si>
    <t>NO</t>
  </si>
  <si>
    <t>R:\TE\New Plan\Residential Resource Assessment\MC_AND_LOADSHAPE.XLS</t>
  </si>
  <si>
    <t>5th Plan Draft 092802</t>
  </si>
  <si>
    <t>Use PTCS Duct Sealing Assumptions?</t>
  </si>
  <si>
    <t>Use PTCS Heat Pump Commissioning Assumptions?</t>
  </si>
  <si>
    <t>PTCS Ducts?</t>
  </si>
  <si>
    <t>PTCS HP ?</t>
  </si>
  <si>
    <t>Central AC must be rated SEER 12 or higher and be installed in substantial compliance with  the applicable specifications for Air Source Heating Pump Installation provided in the RTF's Appendix H - "Air Source Heat Pump Installation Standards." Duct systems and Air Conditioner installaion must be PTCS(tm) or equivalent certified.</t>
  </si>
  <si>
    <t xml:space="preserve">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t>
  </si>
  <si>
    <t>1988&gt;2000$</t>
  </si>
  <si>
    <t xml:space="preserve">Cost Lookup Table </t>
  </si>
  <si>
    <t>Annual Repair &amp; Maintenance (2000$)</t>
  </si>
  <si>
    <t>Compressor Replacement</t>
  </si>
  <si>
    <t>Pre94 Manufactured Home Convert FAF w/o CAC to HP HSPF 8/SEER 12 - Heating</t>
  </si>
  <si>
    <t>Pre94 Manufactured Home Convert FAF w/o CAC to HP HSPF 8/SEER 12 - AC</t>
  </si>
  <si>
    <t>Post93 Manufactured Home NonSGC Convert FAF w/o CAC to HP HSPF 8/SEER 12 - Heating</t>
  </si>
  <si>
    <t>Post93 Manufactured Home NonSGC Convert FAF w/o CAC to HP HSPF 8/SEER 12 - AC</t>
  </si>
  <si>
    <t>RSEP Conversion Cost=&gt;</t>
  </si>
  <si>
    <t>SGC Manufactured Home Convert FAF w/o CAC to HP HSPF 8/SEER 12 - Heating</t>
  </si>
  <si>
    <t>year 2000$</t>
  </si>
  <si>
    <t>SGC Manufactured Home Convert FAF w/o CAC to HP HSPF 8/SEER 12 - AC</t>
  </si>
  <si>
    <t>Pre94 Manufactured Home Convert FAF w/CAC to HP HSPF 8/SEER 12 - Heating</t>
  </si>
  <si>
    <t>Pre94 Manufactured Home Convert FAF w/CAC to HP HSPF 8/SEER 12 - AC</t>
  </si>
  <si>
    <t>Post93 Manufactured Home NonSGC Convert FAF w/CAC to HP HSPF 8/SEER 12 - Heating</t>
  </si>
  <si>
    <t>Post93 Manufactured Home NonSGC Convert FAF w/CAC to HP HSPF 8/SEER 12 - AC</t>
  </si>
  <si>
    <t>SGC Manufactured Home Convert FAF w/CAC to HP HSPF 8/SEER 12 - Heating</t>
  </si>
  <si>
    <t>Incremental PTCS Measure Cost</t>
  </si>
  <si>
    <t>SGC Manufactured Home Convert FAF w/CAC to HP HSPF 8/SEER 12 - AC</t>
  </si>
  <si>
    <t>Pre94 Manufactured Home Convert Zonal w/o CAC to HP HSPF 8/SEER 12 - Heat</t>
  </si>
  <si>
    <t>System Commissioning</t>
  </si>
  <si>
    <t>Pre94 Manufactured Home Convert Zonal w/o CAC to HP HSPF 8/SEER 12 - AC</t>
  </si>
  <si>
    <t>Post93 Manufactured Home NonSGC Convert Zonal w/o CAC to HP HSPF 8/SEER 12 - Heat</t>
  </si>
  <si>
    <t>Post93 Manufactured Home NonSGC Convert Zonal w/o CAC to HP HSPF 8/SEER 12 - AC</t>
  </si>
  <si>
    <t>2000$ to 2000$</t>
  </si>
  <si>
    <t>SGC Manufactured Home Convert Zonal w/o CAC to HP HSPF 8/SEER 12 - Heat</t>
  </si>
  <si>
    <t>SGC Manufactured Home Convert Zonal w/o CAC to HP HSPF 8/SEER 12 - AC</t>
  </si>
  <si>
    <t>SPLIT HEAT PUMPS:   COST AND EFFICIENCY DATA (REVERSE ENGINEERING)</t>
  </si>
  <si>
    <t>Source: DOE Central Air Conditioners and Heat Pumps, Revised Life Cycle Cost Analysis June 2000. Reverse Enginneering Estimates</t>
  </si>
  <si>
    <t>Total Installed Price (2000$)</t>
  </si>
  <si>
    <t>Incremental Price (2000$)</t>
  </si>
  <si>
    <t>Annual Repair (2000$)</t>
  </si>
  <si>
    <t>Annual Maintenance (2000$)</t>
  </si>
  <si>
    <t>80% Impr. (SEER=16)</t>
  </si>
  <si>
    <t xml:space="preserve">PACKAGE HEAT PUMPS:   COST AND EFFICIENCY DATA (REVERSE ENGINEERING) </t>
  </si>
  <si>
    <t>0% Impr. (SEER=)</t>
  </si>
  <si>
    <t>Annual Repair Cost (2000$)</t>
  </si>
  <si>
    <t>Annual Maintenance Cost (2000$)</t>
  </si>
  <si>
    <t>Annual Repair &amp; Maintenance Cost (2000$)</t>
  </si>
  <si>
    <t>*Based on DOE ANPOR as Revised June 2000</t>
  </si>
  <si>
    <t>PACKAGE SYSTEM CENTRAL AIR CONDITIONERS:   COST AND EFFICIENCY DATA (REVERSE ENGINEERING)</t>
  </si>
  <si>
    <t>ProCost Results, Version 1.70a: JPH 03/07/01, 05:22 PM 1/9/2003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</si>
</sst>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_(* #,##0.0_);_(* \(#,##0.0\);_(* &quot;-&quot;??_);_(@_)"/>
    <numFmt numFmtId="179" formatCode="#,##0.0"/>
    <numFmt numFmtId="180" formatCode="\ \ @"/>
    <numFmt numFmtId="181" formatCode="0%\ \ \ \ \ \ "/>
    <numFmt numFmtId="182" formatCode="&quot;$&quot;#,##0\ \ \ \ "/>
    <numFmt numFmtId="183" formatCode="_(&quot;$&quot;* #,##0.0_);_(&quot;$&quot;* \(#,##0.0\);_(&quot;$&quot;* &quot;-&quot;??_);_(@_)"/>
  </numFmts>
  <fonts count="39">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6"/>
      <name val="Tahoma"/>
      <family val="0"/>
    </font>
    <font>
      <sz val="12"/>
      <name val="Arial"/>
      <family val="0"/>
    </font>
    <font>
      <sz val="10"/>
      <color indexed="8"/>
      <name val="MS Sans Serif"/>
      <family val="0"/>
    </font>
    <font>
      <sz val="10"/>
      <color indexed="16"/>
      <name val="Arial"/>
      <family val="2"/>
    </font>
    <font>
      <b/>
      <sz val="12"/>
      <color indexed="9"/>
      <name val="Times New Roman"/>
      <family val="1"/>
    </font>
    <font>
      <sz val="12"/>
      <name val="Times New Roman"/>
      <family val="1"/>
    </font>
    <font>
      <b/>
      <sz val="10"/>
      <color indexed="61"/>
      <name val="Arial"/>
      <family val="2"/>
    </font>
    <font>
      <sz val="9"/>
      <name val="Times New Roman"/>
      <family val="1"/>
    </font>
    <font>
      <sz val="8"/>
      <name val="Times New Roman"/>
      <family val="1"/>
    </font>
    <font>
      <b/>
      <sz val="12"/>
      <name val="Times New Roman"/>
      <family val="1"/>
    </font>
    <font>
      <b/>
      <sz val="14"/>
      <color indexed="61"/>
      <name val="Times New Roman"/>
      <family val="1"/>
    </font>
    <font>
      <sz val="10"/>
      <name val="Times New Roman"/>
      <family val="1"/>
    </font>
    <font>
      <b/>
      <sz val="9"/>
      <name val="Times New Roman"/>
      <family val="1"/>
    </font>
    <font>
      <b/>
      <sz val="6"/>
      <name val="Tahoma"/>
      <family val="0"/>
    </font>
    <font>
      <sz val="12"/>
      <color indexed="9"/>
      <name val="Times New Roman"/>
      <family val="1"/>
    </font>
    <font>
      <i/>
      <sz val="9"/>
      <name val="Times New Roman"/>
      <family val="1"/>
    </font>
  </fonts>
  <fills count="17">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40"/>
        <bgColor indexed="64"/>
      </patternFill>
    </fill>
  </fills>
  <borders count="57">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medium"/>
      <bottom style="thin"/>
    </border>
    <border>
      <left style="thin"/>
      <right>
        <color indexed="63"/>
      </right>
      <top style="medium"/>
      <bottom style="medium"/>
    </border>
    <border>
      <left style="thin"/>
      <right>
        <color indexed="63"/>
      </right>
      <top style="medium"/>
      <bottom style="thin"/>
    </border>
    <border>
      <left style="thin"/>
      <right style="medium"/>
      <top style="medium"/>
      <bottom style="thin"/>
    </border>
    <border>
      <left style="thin"/>
      <right>
        <color indexed="63"/>
      </right>
      <top>
        <color indexed="63"/>
      </top>
      <bottom style="medium"/>
    </border>
    <border>
      <left style="medium"/>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medium"/>
      <right style="thin"/>
      <top style="medium"/>
      <bottom style="thin"/>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24" fillId="0" borderId="0">
      <alignment/>
      <protection/>
    </xf>
    <xf numFmtId="0" fontId="25" fillId="0" borderId="0" applyNumberFormat="0" applyFont="0" applyFill="0" applyBorder="0" applyAlignment="0" applyProtection="0"/>
    <xf numFmtId="0" fontId="0" fillId="0" borderId="0">
      <alignment/>
      <protection/>
    </xf>
    <xf numFmtId="9" fontId="0" fillId="0" borderId="0" applyFont="0" applyFill="0" applyBorder="0" applyAlignment="0" applyProtection="0"/>
  </cellStyleXfs>
  <cellXfs count="485">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7" fillId="0" borderId="0" xfId="0" applyFont="1" applyAlignment="1">
      <alignment/>
    </xf>
    <xf numFmtId="0" fontId="0" fillId="0" borderId="0" xfId="0" applyFont="1" applyAlignment="1">
      <alignment/>
    </xf>
    <xf numFmtId="5" fontId="0" fillId="0" borderId="0" xfId="0" applyNumberFormat="1" applyFont="1" applyAlignment="1">
      <alignment horizontal="right"/>
    </xf>
    <xf numFmtId="165" fontId="0" fillId="0" borderId="0" xfId="0" applyNumberFormat="1" applyFont="1" applyAlignment="1">
      <alignment/>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2" fontId="11" fillId="0" borderId="0" xfId="0" applyNumberFormat="1" applyFont="1" applyAlignment="1">
      <alignment/>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9" fontId="0" fillId="0" borderId="0" xfId="15" applyNumberFormat="1" applyAlignment="1">
      <alignment/>
    </xf>
    <xf numFmtId="168" fontId="0" fillId="0" borderId="0" xfId="17" applyNumberFormat="1" applyAlignment="1">
      <alignment/>
    </xf>
    <xf numFmtId="0" fontId="18" fillId="11" borderId="13" xfId="0" applyFont="1" applyFill="1" applyBorder="1" applyAlignment="1">
      <alignment horizontal="center" wrapText="1"/>
    </xf>
    <xf numFmtId="0" fontId="20" fillId="0" borderId="9" xfId="0" applyFont="1" applyBorder="1" applyAlignment="1">
      <alignment wrapText="1"/>
    </xf>
    <xf numFmtId="0" fontId="0" fillId="0" borderId="0" xfId="0" applyFont="1" applyAlignment="1">
      <alignment wrapText="1"/>
    </xf>
    <xf numFmtId="177" fontId="0" fillId="0" borderId="0" xfId="25" applyNumberFormat="1" applyFont="1" applyAlignment="1" applyProtection="1">
      <alignment horizontal="left"/>
      <protection/>
    </xf>
    <xf numFmtId="169" fontId="0" fillId="0" borderId="0" xfId="15" applyNumberFormat="1" applyAlignment="1" applyProtection="1">
      <alignment horizontal="right"/>
      <protection/>
    </xf>
    <xf numFmtId="177" fontId="0" fillId="0" borderId="0" xfId="25" applyNumberFormat="1" applyAlignment="1" applyProtection="1">
      <alignment horizontal="right"/>
      <protection/>
    </xf>
    <xf numFmtId="168" fontId="0" fillId="0" borderId="0" xfId="17" applyNumberFormat="1" applyAlignment="1" applyProtection="1">
      <alignment horizontal="right"/>
      <protection/>
    </xf>
    <xf numFmtId="168" fontId="0" fillId="0" borderId="0" xfId="17" applyNumberFormat="1" applyFont="1" applyAlignment="1">
      <alignment/>
    </xf>
    <xf numFmtId="1" fontId="0" fillId="0" borderId="0" xfId="0" applyNumberFormat="1" applyAlignment="1">
      <alignment/>
    </xf>
    <xf numFmtId="165" fontId="0" fillId="0" borderId="0" xfId="0" applyNumberFormat="1" applyFont="1" applyAlignment="1">
      <alignment horizontal="right"/>
    </xf>
    <xf numFmtId="0" fontId="17" fillId="0" borderId="0" xfId="0" applyFont="1" applyAlignment="1">
      <alignment/>
    </xf>
    <xf numFmtId="0" fontId="0" fillId="12" borderId="13" xfId="0" applyFill="1" applyBorder="1" applyAlignment="1">
      <alignment/>
    </xf>
    <xf numFmtId="9" fontId="17" fillId="2" borderId="19" xfId="0" applyNumberFormat="1" applyFont="1" applyFill="1" applyBorder="1" applyAlignment="1">
      <alignment/>
    </xf>
    <xf numFmtId="9" fontId="17" fillId="2" borderId="20" xfId="0" applyNumberFormat="1" applyFont="1" applyFill="1" applyBorder="1" applyAlignment="1">
      <alignment/>
    </xf>
    <xf numFmtId="0" fontId="17" fillId="2" borderId="21" xfId="0" applyFont="1" applyFill="1" applyBorder="1" applyAlignment="1">
      <alignment/>
    </xf>
    <xf numFmtId="0" fontId="0" fillId="13" borderId="13" xfId="0" applyFill="1" applyBorder="1" applyAlignment="1">
      <alignment/>
    </xf>
    <xf numFmtId="0" fontId="17" fillId="0" borderId="16" xfId="0" applyFont="1" applyBorder="1" applyAlignment="1">
      <alignment/>
    </xf>
    <xf numFmtId="9" fontId="0" fillId="12" borderId="22" xfId="26" applyFill="1" applyBorder="1" applyAlignment="1">
      <alignment/>
    </xf>
    <xf numFmtId="9" fontId="0" fillId="2" borderId="22" xfId="0" applyNumberFormat="1" applyFill="1" applyBorder="1" applyAlignment="1">
      <alignment/>
    </xf>
    <xf numFmtId="0" fontId="0" fillId="2" borderId="16" xfId="0" applyFill="1" applyBorder="1" applyAlignment="1">
      <alignment/>
    </xf>
    <xf numFmtId="0" fontId="0" fillId="2" borderId="22" xfId="0" applyFill="1" applyBorder="1" applyAlignment="1">
      <alignment/>
    </xf>
    <xf numFmtId="0" fontId="0" fillId="2" borderId="23" xfId="0" applyFill="1" applyBorder="1" applyAlignment="1">
      <alignment/>
    </xf>
    <xf numFmtId="9" fontId="0" fillId="0" borderId="0" xfId="0" applyNumberFormat="1" applyAlignment="1">
      <alignment/>
    </xf>
    <xf numFmtId="0" fontId="17" fillId="12" borderId="24" xfId="0" applyFont="1" applyFill="1" applyBorder="1" applyAlignment="1">
      <alignment/>
    </xf>
    <xf numFmtId="9" fontId="0" fillId="2" borderId="9" xfId="26" applyNumberFormat="1" applyFill="1" applyBorder="1" applyAlignment="1">
      <alignment/>
    </xf>
    <xf numFmtId="9" fontId="0" fillId="2" borderId="9" xfId="26" applyFill="1" applyBorder="1" applyAlignment="1">
      <alignment/>
    </xf>
    <xf numFmtId="0" fontId="0" fillId="2" borderId="9" xfId="0" applyFill="1" applyBorder="1" applyAlignment="1">
      <alignment/>
    </xf>
    <xf numFmtId="0" fontId="0" fillId="2" borderId="25" xfId="0" applyFill="1" applyBorder="1" applyAlignment="1">
      <alignment/>
    </xf>
    <xf numFmtId="0" fontId="17" fillId="12" borderId="26" xfId="0" applyFont="1" applyFill="1" applyBorder="1" applyAlignment="1">
      <alignment/>
    </xf>
    <xf numFmtId="9" fontId="0" fillId="12" borderId="9" xfId="26" applyNumberFormat="1" applyFill="1" applyBorder="1" applyAlignment="1">
      <alignment/>
    </xf>
    <xf numFmtId="9" fontId="0" fillId="12" borderId="9" xfId="26" applyFill="1" applyBorder="1" applyAlignment="1">
      <alignment/>
    </xf>
    <xf numFmtId="9" fontId="0" fillId="13" borderId="3" xfId="26" applyFill="1" applyBorder="1" applyAlignment="1">
      <alignment/>
    </xf>
    <xf numFmtId="0" fontId="0" fillId="2" borderId="3" xfId="0" applyFill="1" applyBorder="1" applyAlignment="1">
      <alignment/>
    </xf>
    <xf numFmtId="0" fontId="0" fillId="2" borderId="27" xfId="0" applyFill="1" applyBorder="1" applyAlignment="1">
      <alignment/>
    </xf>
    <xf numFmtId="0" fontId="0" fillId="0" borderId="28" xfId="0" applyBorder="1" applyAlignment="1">
      <alignment/>
    </xf>
    <xf numFmtId="0" fontId="0" fillId="0" borderId="29" xfId="0" applyBorder="1" applyAlignment="1">
      <alignment/>
    </xf>
    <xf numFmtId="169" fontId="0" fillId="13" borderId="29" xfId="15" applyNumberFormat="1" applyFill="1" applyBorder="1" applyAlignment="1">
      <alignment/>
    </xf>
    <xf numFmtId="169" fontId="0" fillId="13" borderId="30" xfId="15" applyNumberFormat="1" applyFill="1" applyBorder="1" applyAlignment="1">
      <alignment/>
    </xf>
    <xf numFmtId="0" fontId="17" fillId="2" borderId="16" xfId="0" applyFont="1" applyFill="1" applyBorder="1" applyAlignment="1">
      <alignment/>
    </xf>
    <xf numFmtId="9" fontId="17" fillId="2" borderId="22" xfId="0" applyNumberFormat="1" applyFont="1" applyFill="1" applyBorder="1" applyAlignment="1">
      <alignment/>
    </xf>
    <xf numFmtId="0" fontId="17" fillId="2" borderId="23" xfId="0" applyFont="1" applyFill="1" applyBorder="1" applyAlignment="1">
      <alignment/>
    </xf>
    <xf numFmtId="0" fontId="17" fillId="0" borderId="24" xfId="0" applyFont="1" applyBorder="1" applyAlignment="1">
      <alignment/>
    </xf>
    <xf numFmtId="9" fontId="0" fillId="13" borderId="9" xfId="26" applyFill="1" applyBorder="1" applyAlignment="1">
      <alignment/>
    </xf>
    <xf numFmtId="0" fontId="17" fillId="12" borderId="31" xfId="0" applyFont="1" applyFill="1" applyBorder="1" applyAlignment="1">
      <alignment/>
    </xf>
    <xf numFmtId="9" fontId="0" fillId="2" borderId="3" xfId="26" applyFill="1" applyBorder="1" applyAlignment="1">
      <alignment/>
    </xf>
    <xf numFmtId="9" fontId="17" fillId="0" borderId="0" xfId="0" applyNumberFormat="1" applyFont="1" applyAlignment="1">
      <alignment/>
    </xf>
    <xf numFmtId="9" fontId="17" fillId="0" borderId="0" xfId="26" applyFont="1" applyAlignment="1">
      <alignment/>
    </xf>
    <xf numFmtId="0" fontId="17" fillId="2" borderId="10" xfId="0" applyFont="1" applyFill="1" applyBorder="1" applyAlignment="1">
      <alignment horizontal="center"/>
    </xf>
    <xf numFmtId="0" fontId="17" fillId="2" borderId="13" xfId="0" applyFont="1" applyFill="1" applyBorder="1" applyAlignment="1">
      <alignment horizontal="center"/>
    </xf>
    <xf numFmtId="169" fontId="0" fillId="13" borderId="32" xfId="15" applyNumberFormat="1" applyFill="1" applyBorder="1" applyAlignment="1">
      <alignment/>
    </xf>
    <xf numFmtId="169" fontId="0" fillId="13" borderId="9" xfId="15" applyNumberFormat="1" applyFill="1" applyBorder="1" applyAlignment="1">
      <alignment/>
    </xf>
    <xf numFmtId="169" fontId="0" fillId="13" borderId="25" xfId="15" applyNumberFormat="1" applyFill="1" applyBorder="1" applyAlignment="1">
      <alignment/>
    </xf>
    <xf numFmtId="169" fontId="0" fillId="0" borderId="0" xfId="0" applyNumberFormat="1" applyAlignment="1">
      <alignment/>
    </xf>
    <xf numFmtId="169" fontId="0" fillId="13" borderId="3" xfId="15" applyNumberFormat="1" applyFill="1" applyBorder="1" applyAlignment="1">
      <alignment/>
    </xf>
    <xf numFmtId="169" fontId="0" fillId="13" borderId="27" xfId="15" applyNumberFormat="1" applyFill="1" applyBorder="1" applyAlignment="1">
      <alignment/>
    </xf>
    <xf numFmtId="169" fontId="0" fillId="0" borderId="0" xfId="15" applyNumberFormat="1" applyBorder="1" applyAlignment="1">
      <alignment/>
    </xf>
    <xf numFmtId="0" fontId="17" fillId="2" borderId="11" xfId="0" applyFont="1" applyFill="1" applyBorder="1" applyAlignment="1">
      <alignment horizontal="center"/>
    </xf>
    <xf numFmtId="0" fontId="0" fillId="2" borderId="33" xfId="0" applyFill="1" applyBorder="1" applyAlignment="1">
      <alignment/>
    </xf>
    <xf numFmtId="169" fontId="0" fillId="13" borderId="34" xfId="15" applyNumberFormat="1" applyFill="1" applyBorder="1" applyAlignment="1">
      <alignment/>
    </xf>
    <xf numFmtId="169" fontId="0" fillId="13" borderId="35" xfId="15" applyNumberFormat="1" applyFill="1" applyBorder="1" applyAlignment="1">
      <alignment/>
    </xf>
    <xf numFmtId="169" fontId="0" fillId="13" borderId="8" xfId="15" applyNumberFormat="1" applyFill="1" applyBorder="1" applyAlignment="1">
      <alignment/>
    </xf>
    <xf numFmtId="169" fontId="0" fillId="13" borderId="36" xfId="15" applyNumberFormat="1" applyFill="1" applyBorder="1" applyAlignment="1">
      <alignment/>
    </xf>
    <xf numFmtId="0" fontId="17" fillId="0" borderId="0" xfId="0" applyFont="1" applyBorder="1" applyAlignment="1">
      <alignment/>
    </xf>
    <xf numFmtId="0" fontId="0" fillId="2" borderId="12" xfId="0" applyFill="1" applyBorder="1" applyAlignment="1">
      <alignment/>
    </xf>
    <xf numFmtId="178" fontId="0" fillId="0" borderId="0" xfId="15" applyNumberFormat="1" applyBorder="1" applyAlignment="1">
      <alignment/>
    </xf>
    <xf numFmtId="178" fontId="0" fillId="13" borderId="3" xfId="15" applyNumberFormat="1" applyFill="1" applyBorder="1" applyAlignment="1">
      <alignment/>
    </xf>
    <xf numFmtId="165" fontId="17" fillId="2" borderId="13" xfId="0" applyNumberFormat="1" applyFont="1" applyFill="1" applyBorder="1" applyAlignment="1">
      <alignment horizontal="center"/>
    </xf>
    <xf numFmtId="178" fontId="0" fillId="0" borderId="29" xfId="15" applyNumberFormat="1" applyBorder="1" applyAlignment="1">
      <alignment/>
    </xf>
    <xf numFmtId="178" fontId="0" fillId="0" borderId="30" xfId="15" applyNumberFormat="1" applyBorder="1" applyAlignment="1">
      <alignment/>
    </xf>
    <xf numFmtId="0" fontId="0" fillId="2" borderId="37" xfId="0" applyFill="1" applyBorder="1" applyAlignment="1">
      <alignment/>
    </xf>
    <xf numFmtId="0" fontId="0" fillId="2" borderId="20" xfId="0" applyFill="1" applyBorder="1" applyAlignment="1">
      <alignment/>
    </xf>
    <xf numFmtId="0" fontId="0" fillId="2" borderId="38" xfId="0" applyFill="1" applyBorder="1" applyAlignment="1">
      <alignment/>
    </xf>
    <xf numFmtId="0" fontId="17" fillId="2" borderId="3" xfId="0" applyFont="1" applyFill="1" applyBorder="1" applyAlignment="1">
      <alignment/>
    </xf>
    <xf numFmtId="0" fontId="17" fillId="0" borderId="0" xfId="0" applyFont="1" applyFill="1" applyBorder="1" applyAlignment="1">
      <alignment/>
    </xf>
    <xf numFmtId="0" fontId="17" fillId="2" borderId="9" xfId="0" applyFont="1" applyFill="1" applyBorder="1" applyAlignment="1">
      <alignment/>
    </xf>
    <xf numFmtId="0" fontId="0" fillId="0" borderId="3" xfId="0" applyBorder="1" applyAlignment="1">
      <alignment/>
    </xf>
    <xf numFmtId="169" fontId="0" fillId="0" borderId="3" xfId="15" applyNumberFormat="1" applyBorder="1" applyAlignment="1">
      <alignment/>
    </xf>
    <xf numFmtId="0" fontId="0" fillId="0" borderId="3" xfId="0" applyBorder="1" applyAlignment="1">
      <alignment horizontal="right"/>
    </xf>
    <xf numFmtId="169" fontId="0" fillId="0" borderId="3" xfId="15" applyNumberFormat="1" applyFont="1" applyBorder="1" applyAlignment="1">
      <alignment/>
    </xf>
    <xf numFmtId="0" fontId="17" fillId="0" borderId="3" xfId="0" applyFont="1" applyBorder="1" applyAlignment="1">
      <alignment/>
    </xf>
    <xf numFmtId="165" fontId="0" fillId="14" borderId="3" xfId="0" applyNumberFormat="1" applyFill="1" applyBorder="1" applyAlignment="1">
      <alignment/>
    </xf>
    <xf numFmtId="9" fontId="0" fillId="14" borderId="3" xfId="0" applyNumberFormat="1" applyFill="1" applyBorder="1" applyAlignment="1">
      <alignment/>
    </xf>
    <xf numFmtId="165" fontId="0" fillId="12" borderId="3" xfId="0" applyNumberFormat="1" applyFill="1" applyBorder="1" applyAlignment="1">
      <alignment/>
    </xf>
    <xf numFmtId="169" fontId="0" fillId="14" borderId="3" xfId="15" applyNumberFormat="1" applyFill="1" applyBorder="1" applyAlignment="1">
      <alignment/>
    </xf>
    <xf numFmtId="169" fontId="0" fillId="14" borderId="3" xfId="15" applyNumberFormat="1" applyFill="1" applyBorder="1" applyAlignment="1">
      <alignment horizontal="right"/>
    </xf>
    <xf numFmtId="178" fontId="0" fillId="14" borderId="3" xfId="15" applyNumberFormat="1" applyFill="1" applyBorder="1" applyAlignment="1">
      <alignment horizontal="right"/>
    </xf>
    <xf numFmtId="0" fontId="0" fillId="0" borderId="0" xfId="0" applyBorder="1" applyAlignment="1">
      <alignment horizontal="right"/>
    </xf>
    <xf numFmtId="169" fontId="0" fillId="0" borderId="0" xfId="15" applyNumberFormat="1" applyBorder="1" applyAlignment="1">
      <alignment horizontal="right"/>
    </xf>
    <xf numFmtId="169" fontId="0" fillId="0" borderId="0" xfId="15" applyNumberFormat="1" applyFont="1" applyBorder="1" applyAlignment="1">
      <alignment/>
    </xf>
    <xf numFmtId="0" fontId="0" fillId="0" borderId="39" xfId="0" applyBorder="1" applyAlignment="1">
      <alignment horizontal="right"/>
    </xf>
    <xf numFmtId="165" fontId="0" fillId="12" borderId="35" xfId="0" applyNumberFormat="1" applyFill="1" applyBorder="1" applyAlignment="1">
      <alignment/>
    </xf>
    <xf numFmtId="0" fontId="0" fillId="0" borderId="40" xfId="0" applyBorder="1" applyAlignment="1">
      <alignment horizontal="right"/>
    </xf>
    <xf numFmtId="165" fontId="0" fillId="12" borderId="27" xfId="0" applyNumberFormat="1" applyFill="1" applyBorder="1" applyAlignment="1">
      <alignment/>
    </xf>
    <xf numFmtId="0" fontId="0" fillId="0" borderId="12" xfId="0" applyBorder="1" applyAlignment="1">
      <alignment/>
    </xf>
    <xf numFmtId="0" fontId="0" fillId="0" borderId="10" xfId="0" applyBorder="1" applyAlignment="1">
      <alignment/>
    </xf>
    <xf numFmtId="0" fontId="0" fillId="0" borderId="11" xfId="0" applyBorder="1" applyAlignment="1">
      <alignment/>
    </xf>
    <xf numFmtId="0" fontId="0" fillId="0" borderId="24" xfId="0" applyBorder="1" applyAlignment="1">
      <alignment/>
    </xf>
    <xf numFmtId="9" fontId="0" fillId="12" borderId="9" xfId="0" applyNumberFormat="1" applyFill="1" applyBorder="1" applyAlignment="1">
      <alignment/>
    </xf>
    <xf numFmtId="0" fontId="0" fillId="0" borderId="31" xfId="0" applyBorder="1" applyAlignment="1">
      <alignment/>
    </xf>
    <xf numFmtId="0" fontId="0" fillId="0" borderId="26" xfId="0" applyBorder="1" applyAlignment="1">
      <alignment/>
    </xf>
    <xf numFmtId="0" fontId="0" fillId="2" borderId="41" xfId="0" applyFill="1" applyBorder="1" applyAlignment="1">
      <alignment/>
    </xf>
    <xf numFmtId="0" fontId="0" fillId="2" borderId="42" xfId="0" applyFill="1" applyBorder="1" applyAlignment="1">
      <alignment/>
    </xf>
    <xf numFmtId="0" fontId="0" fillId="2" borderId="43" xfId="0" applyFill="1" applyBorder="1" applyAlignment="1">
      <alignment/>
    </xf>
    <xf numFmtId="9" fontId="0" fillId="12" borderId="3" xfId="26" applyFill="1" applyBorder="1" applyAlignment="1">
      <alignment/>
    </xf>
    <xf numFmtId="9" fontId="0" fillId="14" borderId="9" xfId="0" applyNumberFormat="1" applyFill="1" applyBorder="1" applyAlignment="1">
      <alignment/>
    </xf>
    <xf numFmtId="0" fontId="0" fillId="7" borderId="12" xfId="0" applyFill="1" applyBorder="1" applyAlignment="1">
      <alignment/>
    </xf>
    <xf numFmtId="0" fontId="0" fillId="7" borderId="13" xfId="0" applyFill="1" applyBorder="1" applyAlignment="1">
      <alignment/>
    </xf>
    <xf numFmtId="3" fontId="0" fillId="0" borderId="25" xfId="0" applyNumberFormat="1" applyBorder="1" applyAlignment="1">
      <alignment/>
    </xf>
    <xf numFmtId="3" fontId="0" fillId="0" borderId="0" xfId="0" applyNumberFormat="1" applyAlignment="1">
      <alignment/>
    </xf>
    <xf numFmtId="3" fontId="0" fillId="0" borderId="27" xfId="0" applyNumberFormat="1" applyBorder="1" applyAlignment="1">
      <alignment/>
    </xf>
    <xf numFmtId="4" fontId="0" fillId="0" borderId="0" xfId="0" applyNumberFormat="1" applyAlignment="1">
      <alignment/>
    </xf>
    <xf numFmtId="3" fontId="0" fillId="0" borderId="30" xfId="0" applyNumberFormat="1" applyBorder="1" applyAlignment="1">
      <alignment/>
    </xf>
    <xf numFmtId="0" fontId="0" fillId="7" borderId="44" xfId="0" applyFill="1" applyBorder="1" applyAlignment="1">
      <alignment/>
    </xf>
    <xf numFmtId="0" fontId="0" fillId="0" borderId="45" xfId="0" applyBorder="1" applyAlignment="1">
      <alignment/>
    </xf>
    <xf numFmtId="0" fontId="0" fillId="0" borderId="32" xfId="0" applyBorder="1" applyAlignment="1">
      <alignment wrapText="1"/>
    </xf>
    <xf numFmtId="0" fontId="0" fillId="0" borderId="34" xfId="0" applyBorder="1" applyAlignment="1">
      <alignment wrapText="1"/>
    </xf>
    <xf numFmtId="0" fontId="0" fillId="0" borderId="35" xfId="0" applyBorder="1" applyAlignment="1">
      <alignment wrapText="1"/>
    </xf>
    <xf numFmtId="169" fontId="0" fillId="0" borderId="5" xfId="15" applyNumberFormat="1" applyBorder="1" applyAlignment="1">
      <alignment/>
    </xf>
    <xf numFmtId="43" fontId="0" fillId="0" borderId="3" xfId="0" applyNumberFormat="1" applyBorder="1" applyAlignment="1">
      <alignment/>
    </xf>
    <xf numFmtId="43" fontId="0" fillId="0" borderId="27" xfId="0" applyNumberFormat="1" applyBorder="1" applyAlignment="1">
      <alignment/>
    </xf>
    <xf numFmtId="169" fontId="0" fillId="0" borderId="29" xfId="15" applyNumberFormat="1" applyBorder="1" applyAlignment="1">
      <alignment/>
    </xf>
    <xf numFmtId="169" fontId="0" fillId="0" borderId="46" xfId="15" applyNumberFormat="1" applyBorder="1" applyAlignment="1">
      <alignment/>
    </xf>
    <xf numFmtId="43" fontId="0" fillId="0" borderId="29" xfId="0" applyNumberFormat="1" applyBorder="1" applyAlignment="1">
      <alignment/>
    </xf>
    <xf numFmtId="43" fontId="0" fillId="0" borderId="30" xfId="0" applyNumberFormat="1" applyBorder="1" applyAlignment="1">
      <alignment/>
    </xf>
    <xf numFmtId="179" fontId="0" fillId="0" borderId="0" xfId="0" applyNumberFormat="1" applyBorder="1" applyAlignment="1">
      <alignment/>
    </xf>
    <xf numFmtId="0" fontId="0" fillId="7" borderId="24" xfId="0" applyFill="1" applyBorder="1" applyAlignment="1">
      <alignment/>
    </xf>
    <xf numFmtId="0" fontId="0" fillId="7" borderId="9" xfId="0" applyFill="1" applyBorder="1" applyAlignment="1">
      <alignment horizontal="center"/>
    </xf>
    <xf numFmtId="0" fontId="0" fillId="7" borderId="25" xfId="0" applyFill="1" applyBorder="1" applyAlignment="1">
      <alignment horizontal="center"/>
    </xf>
    <xf numFmtId="0" fontId="0" fillId="0" borderId="9" xfId="0" applyBorder="1" applyAlignment="1">
      <alignment/>
    </xf>
    <xf numFmtId="0" fontId="0" fillId="0" borderId="25" xfId="0" applyBorder="1" applyAlignment="1">
      <alignment/>
    </xf>
    <xf numFmtId="3" fontId="0" fillId="0" borderId="3" xfId="0" applyNumberFormat="1" applyBorder="1" applyAlignment="1">
      <alignment/>
    </xf>
    <xf numFmtId="0" fontId="0" fillId="0" borderId="27" xfId="0" applyBorder="1" applyAlignment="1">
      <alignment/>
    </xf>
    <xf numFmtId="3" fontId="0" fillId="0" borderId="29" xfId="0" applyNumberFormat="1" applyBorder="1" applyAlignment="1">
      <alignment/>
    </xf>
    <xf numFmtId="0" fontId="0" fillId="0" borderId="30" xfId="0" applyBorder="1" applyAlignment="1">
      <alignment/>
    </xf>
    <xf numFmtId="0" fontId="0" fillId="7" borderId="45" xfId="0" applyFill="1" applyBorder="1" applyAlignment="1">
      <alignment/>
    </xf>
    <xf numFmtId="0" fontId="0" fillId="7" borderId="32" xfId="0" applyFill="1" applyBorder="1" applyAlignment="1">
      <alignment/>
    </xf>
    <xf numFmtId="0" fontId="0" fillId="7" borderId="35" xfId="0" applyFill="1" applyBorder="1" applyAlignment="1">
      <alignment/>
    </xf>
    <xf numFmtId="9" fontId="0" fillId="0" borderId="0" xfId="26" applyAlignment="1">
      <alignment/>
    </xf>
    <xf numFmtId="168" fontId="0" fillId="0" borderId="3" xfId="17" applyNumberFormat="1" applyBorder="1" applyAlignment="1">
      <alignment/>
    </xf>
    <xf numFmtId="0" fontId="0" fillId="0" borderId="0" xfId="23" applyFont="1">
      <alignment/>
      <protection/>
    </xf>
    <xf numFmtId="168" fontId="0" fillId="0" borderId="0" xfId="23" applyNumberFormat="1" applyFont="1">
      <alignment/>
      <protection/>
    </xf>
    <xf numFmtId="168" fontId="0" fillId="0" borderId="3" xfId="0" applyNumberFormat="1" applyBorder="1" applyAlignment="1">
      <alignment/>
    </xf>
    <xf numFmtId="0" fontId="17" fillId="0" borderId="0" xfId="23" applyFont="1" applyAlignment="1">
      <alignment horizontal="left"/>
      <protection/>
    </xf>
    <xf numFmtId="1" fontId="17" fillId="0" borderId="0" xfId="23" applyNumberFormat="1" applyFont="1">
      <alignment/>
      <protection/>
    </xf>
    <xf numFmtId="0" fontId="17" fillId="7" borderId="3" xfId="23" applyFont="1" applyFill="1" applyBorder="1" applyAlignment="1">
      <alignment horizontal="left"/>
      <protection/>
    </xf>
    <xf numFmtId="168" fontId="0" fillId="7" borderId="3" xfId="23" applyNumberFormat="1" applyFont="1" applyFill="1" applyBorder="1">
      <alignment/>
      <protection/>
    </xf>
    <xf numFmtId="0" fontId="0" fillId="0" borderId="3" xfId="23" applyFont="1" applyBorder="1" applyAlignment="1">
      <alignment wrapText="1"/>
      <protection/>
    </xf>
    <xf numFmtId="168" fontId="0" fillId="0" borderId="3" xfId="23" applyNumberFormat="1" applyFont="1" applyBorder="1" applyAlignment="1">
      <alignment wrapText="1"/>
      <protection/>
    </xf>
    <xf numFmtId="0" fontId="0" fillId="0" borderId="0" xfId="0" applyFont="1" applyAlignment="1">
      <alignment wrapText="1"/>
    </xf>
    <xf numFmtId="0" fontId="0" fillId="0" borderId="3" xfId="23" applyFont="1" applyBorder="1" applyAlignment="1">
      <alignment horizontal="right"/>
      <protection/>
    </xf>
    <xf numFmtId="168" fontId="26" fillId="0" borderId="3" xfId="23" applyNumberFormat="1" applyFont="1" applyBorder="1">
      <alignment/>
      <protection/>
    </xf>
    <xf numFmtId="168" fontId="0" fillId="0" borderId="3" xfId="23" applyNumberFormat="1" applyFont="1" applyBorder="1">
      <alignment/>
      <protection/>
    </xf>
    <xf numFmtId="0" fontId="17" fillId="7" borderId="3" xfId="23" applyFont="1" applyFill="1" applyBorder="1">
      <alignment/>
      <protection/>
    </xf>
    <xf numFmtId="0" fontId="0" fillId="7" borderId="3" xfId="0" applyFont="1" applyFill="1" applyBorder="1" applyAlignment="1">
      <alignment/>
    </xf>
    <xf numFmtId="0" fontId="0" fillId="0" borderId="3" xfId="23" applyFont="1" applyFill="1" applyBorder="1" applyAlignment="1">
      <alignment wrapText="1"/>
      <protection/>
    </xf>
    <xf numFmtId="168" fontId="0" fillId="0" borderId="3" xfId="23" applyNumberFormat="1" applyFont="1" applyFill="1" applyBorder="1" applyAlignment="1">
      <alignment wrapText="1"/>
      <protection/>
    </xf>
    <xf numFmtId="0" fontId="0" fillId="0" borderId="3" xfId="0" applyFont="1" applyFill="1" applyBorder="1" applyAlignment="1">
      <alignment wrapText="1"/>
    </xf>
    <xf numFmtId="0" fontId="0" fillId="0" borderId="3" xfId="23" applyFont="1" applyFill="1" applyBorder="1" applyAlignment="1">
      <alignment horizontal="right"/>
      <protection/>
    </xf>
    <xf numFmtId="168" fontId="26" fillId="0" borderId="3" xfId="23" applyNumberFormat="1" applyFont="1" applyFill="1" applyBorder="1">
      <alignment/>
      <protection/>
    </xf>
    <xf numFmtId="0" fontId="0" fillId="0" borderId="3" xfId="0" applyFont="1" applyFill="1" applyBorder="1" applyAlignment="1">
      <alignment/>
    </xf>
    <xf numFmtId="168" fontId="0" fillId="0" borderId="3" xfId="0" applyNumberFormat="1" applyFont="1" applyFill="1" applyBorder="1" applyAlignment="1">
      <alignment/>
    </xf>
    <xf numFmtId="168" fontId="0" fillId="0" borderId="3" xfId="23" applyNumberFormat="1" applyFont="1" applyFill="1" applyBorder="1">
      <alignment/>
      <protection/>
    </xf>
    <xf numFmtId="0" fontId="24" fillId="0" borderId="0" xfId="0" applyFont="1" applyAlignment="1">
      <alignment/>
    </xf>
    <xf numFmtId="0" fontId="28" fillId="0" borderId="0" xfId="0" applyFont="1" applyAlignment="1">
      <alignment/>
    </xf>
    <xf numFmtId="172" fontId="29" fillId="0" borderId="0" xfId="0" applyNumberFormat="1" applyFont="1" applyAlignment="1">
      <alignment/>
    </xf>
    <xf numFmtId="0" fontId="0" fillId="0" borderId="0" xfId="0" applyFont="1" applyAlignment="1">
      <alignment horizontal="center"/>
    </xf>
    <xf numFmtId="173" fontId="30" fillId="0" borderId="0" xfId="0" applyNumberFormat="1" applyFont="1" applyAlignment="1" applyProtection="1">
      <alignment/>
      <protection locked="0"/>
    </xf>
    <xf numFmtId="0" fontId="31" fillId="0" borderId="0" xfId="0" applyFont="1" applyAlignment="1">
      <alignment/>
    </xf>
    <xf numFmtId="0" fontId="0" fillId="6" borderId="9" xfId="0" applyNumberFormat="1" applyFont="1" applyFill="1" applyBorder="1" applyAlignment="1">
      <alignment horizontal="center"/>
    </xf>
    <xf numFmtId="180" fontId="0" fillId="6" borderId="9" xfId="0" applyNumberFormat="1" applyFont="1" applyFill="1" applyBorder="1" applyAlignment="1">
      <alignment/>
    </xf>
    <xf numFmtId="1" fontId="0" fillId="6" borderId="9" xfId="0" applyNumberFormat="1" applyFont="1" applyFill="1" applyBorder="1" applyAlignment="1">
      <alignment horizontal="center"/>
    </xf>
    <xf numFmtId="170" fontId="0" fillId="6" borderId="9" xfId="0" applyNumberFormat="1" applyFont="1" applyFill="1" applyBorder="1" applyAlignment="1">
      <alignment horizontal="center"/>
    </xf>
    <xf numFmtId="0" fontId="0" fillId="0" borderId="3" xfId="0" applyNumberFormat="1" applyFont="1" applyBorder="1" applyAlignment="1">
      <alignment horizontal="center"/>
    </xf>
    <xf numFmtId="180" fontId="0" fillId="0" borderId="3" xfId="0" applyNumberFormat="1" applyFont="1" applyBorder="1" applyAlignment="1">
      <alignment/>
    </xf>
    <xf numFmtId="1" fontId="0" fillId="0" borderId="3" xfId="0" applyNumberFormat="1" applyFont="1" applyFill="1" applyBorder="1" applyAlignment="1">
      <alignment horizontal="center"/>
    </xf>
    <xf numFmtId="165" fontId="0" fillId="0" borderId="3" xfId="0" applyNumberFormat="1" applyFont="1" applyFill="1" applyBorder="1" applyAlignment="1">
      <alignment horizontal="center"/>
    </xf>
    <xf numFmtId="181" fontId="0" fillId="0" borderId="3" xfId="0" applyNumberFormat="1" applyFont="1" applyBorder="1" applyAlignment="1">
      <alignment horizontal="right"/>
    </xf>
    <xf numFmtId="170" fontId="0" fillId="6" borderId="3" xfId="0" applyNumberFormat="1" applyFont="1" applyFill="1" applyBorder="1" applyAlignment="1">
      <alignment horizontal="center"/>
    </xf>
    <xf numFmtId="170" fontId="0" fillId="0" borderId="3" xfId="0" applyNumberFormat="1" applyFont="1" applyFill="1" applyBorder="1" applyAlignment="1">
      <alignment horizontal="center"/>
    </xf>
    <xf numFmtId="170" fontId="0" fillId="0" borderId="3" xfId="0" applyNumberFormat="1" applyFont="1" applyBorder="1" applyAlignment="1">
      <alignment/>
    </xf>
    <xf numFmtId="0" fontId="0" fillId="0" borderId="3" xfId="0" applyNumberFormat="1" applyFont="1" applyFill="1" applyBorder="1" applyAlignment="1">
      <alignment horizontal="center"/>
    </xf>
    <xf numFmtId="181" fontId="0" fillId="0" borderId="3" xfId="0" applyNumberFormat="1" applyFont="1" applyFill="1" applyBorder="1" applyAlignment="1">
      <alignment horizontal="right"/>
    </xf>
    <xf numFmtId="170" fontId="30" fillId="0" borderId="0" xfId="0" applyNumberFormat="1" applyFont="1" applyFill="1" applyAlignment="1">
      <alignment horizontal="center"/>
    </xf>
    <xf numFmtId="172" fontId="33" fillId="0" borderId="0" xfId="0" applyNumberFormat="1" applyFont="1" applyAlignment="1">
      <alignment/>
    </xf>
    <xf numFmtId="0" fontId="31" fillId="0" borderId="0" xfId="0" applyFont="1" applyAlignment="1">
      <alignment horizontal="center"/>
    </xf>
    <xf numFmtId="0" fontId="34" fillId="0" borderId="0" xfId="0" applyFont="1" applyAlignment="1">
      <alignment horizontal="center"/>
    </xf>
    <xf numFmtId="0" fontId="0" fillId="6" borderId="3" xfId="0" applyNumberFormat="1" applyFont="1" applyFill="1" applyBorder="1" applyAlignment="1">
      <alignment horizontal="center"/>
    </xf>
    <xf numFmtId="180" fontId="0" fillId="6" borderId="3" xfId="0" applyNumberFormat="1" applyFont="1" applyFill="1" applyBorder="1" applyAlignment="1">
      <alignment/>
    </xf>
    <xf numFmtId="1" fontId="0" fillId="6" borderId="3" xfId="0" applyNumberFormat="1" applyFont="1" applyFill="1" applyBorder="1" applyAlignment="1">
      <alignment horizontal="center"/>
    </xf>
    <xf numFmtId="165" fontId="0" fillId="6" borderId="3" xfId="0" applyNumberFormat="1" applyFont="1" applyFill="1" applyBorder="1" applyAlignment="1">
      <alignment horizontal="center"/>
    </xf>
    <xf numFmtId="181" fontId="0" fillId="6" borderId="3" xfId="0" applyNumberFormat="1" applyFont="1" applyFill="1" applyBorder="1" applyAlignment="1">
      <alignment horizontal="right"/>
    </xf>
    <xf numFmtId="0" fontId="30" fillId="0" borderId="0" xfId="0" applyFont="1" applyAlignment="1">
      <alignment/>
    </xf>
    <xf numFmtId="181" fontId="0" fillId="6" borderId="9" xfId="0" applyNumberFormat="1" applyFont="1" applyFill="1" applyBorder="1" applyAlignment="1">
      <alignment/>
    </xf>
    <xf numFmtId="182" fontId="0" fillId="6" borderId="9" xfId="17" applyNumberFormat="1" applyFont="1" applyFill="1" applyBorder="1" applyAlignment="1">
      <alignment horizontal="right"/>
    </xf>
    <xf numFmtId="182" fontId="0" fillId="0" borderId="3" xfId="0" applyNumberFormat="1" applyFont="1" applyBorder="1" applyAlignment="1">
      <alignment/>
    </xf>
    <xf numFmtId="181" fontId="0" fillId="0" borderId="3" xfId="0" applyNumberFormat="1" applyFont="1" applyBorder="1" applyAlignment="1">
      <alignment/>
    </xf>
    <xf numFmtId="181" fontId="0" fillId="0" borderId="3" xfId="0" applyNumberFormat="1" applyFont="1" applyFill="1" applyBorder="1" applyAlignment="1">
      <alignment/>
    </xf>
    <xf numFmtId="0" fontId="0" fillId="0" borderId="3" xfId="0" applyFont="1" applyBorder="1" applyAlignment="1">
      <alignment/>
    </xf>
    <xf numFmtId="0" fontId="17"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7" fillId="12" borderId="16" xfId="24" applyNumberFormat="1" applyFont="1" applyFill="1" applyBorder="1" applyAlignment="1" applyProtection="1">
      <alignment/>
      <protection/>
    </xf>
    <xf numFmtId="0" fontId="17" fillId="12" borderId="22" xfId="24" applyNumberFormat="1" applyFont="1" applyFill="1" applyBorder="1" applyAlignment="1" applyProtection="1">
      <alignment/>
      <protection/>
    </xf>
    <xf numFmtId="0" fontId="17" fillId="12" borderId="23" xfId="24" applyNumberFormat="1" applyFont="1" applyFill="1" applyBorder="1" applyAlignment="1" applyProtection="1">
      <alignment/>
      <protection/>
    </xf>
    <xf numFmtId="0" fontId="17" fillId="12" borderId="19" xfId="24" applyNumberFormat="1" applyFont="1" applyFill="1" applyBorder="1" applyAlignment="1" applyProtection="1">
      <alignment/>
      <protection/>
    </xf>
    <xf numFmtId="0" fontId="17" fillId="12" borderId="21" xfId="24" applyNumberFormat="1" applyFont="1" applyFill="1" applyBorder="1" applyAlignment="1" applyProtection="1">
      <alignment/>
      <protection/>
    </xf>
    <xf numFmtId="0" fontId="17" fillId="12" borderId="21" xfId="24" applyNumberFormat="1" applyFont="1" applyFill="1" applyBorder="1" applyAlignment="1" applyProtection="1">
      <alignment horizontal="center"/>
      <protection/>
    </xf>
    <xf numFmtId="0" fontId="0" fillId="0" borderId="47" xfId="24" applyNumberFormat="1" applyFont="1" applyFill="1" applyBorder="1" applyAlignment="1" applyProtection="1">
      <alignment horizontal="center"/>
      <protection/>
    </xf>
    <xf numFmtId="0" fontId="0" fillId="0" borderId="45" xfId="24" applyNumberFormat="1" applyFill="1" applyBorder="1" applyAlignment="1" applyProtection="1">
      <alignment/>
      <protection/>
    </xf>
    <xf numFmtId="0" fontId="0" fillId="0" borderId="32" xfId="24" applyNumberFormat="1" applyFont="1" applyFill="1" applyBorder="1" applyAlignment="1" applyProtection="1">
      <alignment/>
      <protection/>
    </xf>
    <xf numFmtId="0" fontId="0" fillId="0" borderId="35" xfId="24" applyNumberFormat="1" applyFont="1" applyFill="1" applyBorder="1" applyAlignment="1" applyProtection="1">
      <alignment/>
      <protection/>
    </xf>
    <xf numFmtId="0" fontId="0" fillId="0" borderId="48" xfId="24" applyNumberFormat="1" applyFont="1" applyFill="1" applyBorder="1" applyAlignment="1" applyProtection="1">
      <alignment horizontal="center"/>
      <protection/>
    </xf>
    <xf numFmtId="0" fontId="0" fillId="0" borderId="24" xfId="24" applyNumberFormat="1" applyFont="1" applyFill="1" applyBorder="1" applyAlignment="1" applyProtection="1">
      <alignment/>
      <protection/>
    </xf>
    <xf numFmtId="9" fontId="0" fillId="0" borderId="3" xfId="24" applyNumberFormat="1" applyFont="1" applyFill="1" applyBorder="1" applyAlignment="1" applyProtection="1">
      <alignment/>
      <protection/>
    </xf>
    <xf numFmtId="9" fontId="0" fillId="0" borderId="27" xfId="24" applyNumberFormat="1" applyFont="1" applyFill="1" applyBorder="1" applyAlignment="1" applyProtection="1">
      <alignment/>
      <protection/>
    </xf>
    <xf numFmtId="0" fontId="0" fillId="13" borderId="31" xfId="24" applyNumberFormat="1" applyFill="1" applyBorder="1" applyAlignment="1" applyProtection="1">
      <alignment/>
      <protection/>
    </xf>
    <xf numFmtId="1" fontId="0" fillId="13" borderId="3" xfId="24" applyNumberFormat="1" applyFont="1" applyFill="1" applyBorder="1" applyAlignment="1" applyProtection="1">
      <alignment/>
      <protection/>
    </xf>
    <xf numFmtId="3" fontId="0" fillId="13" borderId="27" xfId="24" applyNumberFormat="1" applyFont="1" applyFill="1" applyBorder="1" applyAlignment="1" applyProtection="1">
      <alignment/>
      <protection/>
    </xf>
    <xf numFmtId="0" fontId="0" fillId="0" borderId="31" xfId="24" applyNumberFormat="1" applyFont="1" applyFill="1" applyBorder="1" applyAlignment="1" applyProtection="1">
      <alignment/>
      <protection/>
    </xf>
    <xf numFmtId="1" fontId="0" fillId="0" borderId="3" xfId="24" applyNumberFormat="1" applyFont="1" applyFill="1" applyBorder="1" applyAlignment="1" applyProtection="1">
      <alignment/>
      <protection/>
    </xf>
    <xf numFmtId="3" fontId="0" fillId="0" borderId="27" xfId="24" applyNumberFormat="1" applyFont="1" applyFill="1" applyBorder="1" applyAlignment="1" applyProtection="1">
      <alignment/>
      <protection/>
    </xf>
    <xf numFmtId="0" fontId="0" fillId="13" borderId="31" xfId="24" applyNumberFormat="1" applyFont="1" applyFill="1" applyBorder="1" applyAlignment="1" applyProtection="1">
      <alignment/>
      <protection/>
    </xf>
    <xf numFmtId="166" fontId="0" fillId="13" borderId="3" xfId="24" applyNumberFormat="1" applyFont="1" applyFill="1" applyBorder="1" applyAlignment="1" applyProtection="1">
      <alignment/>
      <protection/>
    </xf>
    <xf numFmtId="0" fontId="0" fillId="0" borderId="31" xfId="24" applyNumberFormat="1" applyFill="1" applyBorder="1" applyAlignment="1" applyProtection="1">
      <alignment/>
      <protection/>
    </xf>
    <xf numFmtId="3" fontId="0" fillId="0" borderId="3" xfId="24" applyNumberFormat="1" applyFont="1" applyFill="1" applyBorder="1" applyAlignment="1" applyProtection="1">
      <alignment/>
      <protection/>
    </xf>
    <xf numFmtId="179" fontId="0" fillId="0" borderId="3" xfId="24" applyNumberFormat="1" applyFont="1" applyFill="1" applyBorder="1" applyAlignment="1" applyProtection="1">
      <alignment/>
      <protection/>
    </xf>
    <xf numFmtId="179" fontId="0" fillId="0" borderId="27" xfId="24" applyNumberFormat="1" applyFont="1" applyFill="1" applyBorder="1" applyAlignment="1" applyProtection="1">
      <alignment/>
      <protection/>
    </xf>
    <xf numFmtId="0" fontId="0" fillId="0" borderId="26" xfId="24" applyNumberFormat="1" applyFont="1" applyFill="1" applyBorder="1" applyAlignment="1" applyProtection="1">
      <alignment/>
      <protection/>
    </xf>
    <xf numFmtId="0" fontId="0" fillId="0" borderId="49" xfId="24" applyNumberFormat="1" applyFont="1" applyFill="1" applyBorder="1" applyAlignment="1" applyProtection="1">
      <alignment horizontal="center"/>
      <protection/>
    </xf>
    <xf numFmtId="0" fontId="0" fillId="13" borderId="26" xfId="24" applyNumberFormat="1" applyFill="1" applyBorder="1" applyAlignment="1" applyProtection="1">
      <alignment/>
      <protection/>
    </xf>
    <xf numFmtId="165" fontId="0" fillId="13" borderId="4" xfId="24" applyNumberFormat="1" applyFont="1" applyFill="1" applyBorder="1" applyAlignment="1" applyProtection="1">
      <alignment/>
      <protection/>
    </xf>
    <xf numFmtId="179" fontId="0" fillId="13" borderId="50" xfId="24" applyNumberFormat="1" applyFont="1" applyFill="1" applyBorder="1" applyAlignment="1" applyProtection="1">
      <alignment/>
      <protection/>
    </xf>
    <xf numFmtId="0" fontId="0" fillId="0" borderId="47" xfId="0" applyNumberFormat="1" applyFont="1" applyFill="1" applyBorder="1" applyAlignment="1" applyProtection="1">
      <alignment horizontal="center"/>
      <protection/>
    </xf>
    <xf numFmtId="0" fontId="0" fillId="0" borderId="48" xfId="0" applyNumberFormat="1" applyFont="1" applyFill="1" applyBorder="1" applyAlignment="1" applyProtection="1">
      <alignment horizontal="center"/>
      <protection/>
    </xf>
    <xf numFmtId="166" fontId="0" fillId="13" borderId="27" xfId="24" applyNumberFormat="1" applyFont="1" applyFill="1" applyBorder="1" applyAlignment="1" applyProtection="1">
      <alignment/>
      <protection/>
    </xf>
    <xf numFmtId="0" fontId="0" fillId="0" borderId="49" xfId="0" applyNumberFormat="1" applyFont="1" applyFill="1" applyBorder="1" applyAlignment="1" applyProtection="1">
      <alignment horizontal="center"/>
      <protection/>
    </xf>
    <xf numFmtId="0" fontId="0" fillId="13" borderId="28" xfId="24" applyNumberFormat="1" applyFill="1" applyBorder="1" applyAlignment="1" applyProtection="1">
      <alignment/>
      <protection/>
    </xf>
    <xf numFmtId="165" fontId="0" fillId="13" borderId="29" xfId="24" applyNumberFormat="1" applyFont="1" applyFill="1" applyBorder="1" applyAlignment="1" applyProtection="1">
      <alignment/>
      <protection/>
    </xf>
    <xf numFmtId="179" fontId="0" fillId="13" borderId="30" xfId="24" applyNumberFormat="1" applyFont="1" applyFill="1" applyBorder="1" applyAlignment="1" applyProtection="1">
      <alignment/>
      <protection/>
    </xf>
    <xf numFmtId="0" fontId="0" fillId="0" borderId="0" xfId="0" applyNumberFormat="1" applyFill="1" applyBorder="1" applyAlignment="1" applyProtection="1">
      <alignment/>
      <protection/>
    </xf>
    <xf numFmtId="9" fontId="0" fillId="12" borderId="25" xfId="0" applyNumberFormat="1" applyFill="1" applyBorder="1" applyAlignment="1">
      <alignment/>
    </xf>
    <xf numFmtId="9" fontId="0" fillId="14" borderId="25" xfId="0" applyNumberFormat="1" applyFill="1" applyBorder="1" applyAlignment="1">
      <alignment/>
    </xf>
    <xf numFmtId="9" fontId="0" fillId="14" borderId="51" xfId="0" applyNumberFormat="1" applyFill="1" applyBorder="1" applyAlignment="1">
      <alignment/>
    </xf>
    <xf numFmtId="9" fontId="0" fillId="14" borderId="52" xfId="0" applyNumberFormat="1" applyFill="1" applyBorder="1" applyAlignment="1">
      <alignment/>
    </xf>
    <xf numFmtId="0" fontId="17" fillId="2" borderId="9" xfId="0" applyFont="1" applyFill="1" applyBorder="1" applyAlignment="1">
      <alignment wrapText="1"/>
    </xf>
    <xf numFmtId="0" fontId="0" fillId="0" borderId="9" xfId="0" applyFont="1" applyFill="1" applyBorder="1" applyAlignment="1">
      <alignment wrapText="1"/>
    </xf>
    <xf numFmtId="0" fontId="0" fillId="2" borderId="44" xfId="0" applyFill="1" applyBorder="1" applyAlignment="1">
      <alignment/>
    </xf>
    <xf numFmtId="0" fontId="0" fillId="2" borderId="51" xfId="0" applyFill="1" applyBorder="1" applyAlignment="1">
      <alignment/>
    </xf>
    <xf numFmtId="0" fontId="0" fillId="2" borderId="52" xfId="0" applyFill="1" applyBorder="1" applyAlignment="1">
      <alignment/>
    </xf>
    <xf numFmtId="168" fontId="0" fillId="0" borderId="3" xfId="17" applyNumberFormat="1" applyBorder="1" applyAlignment="1">
      <alignment/>
    </xf>
    <xf numFmtId="0" fontId="17" fillId="3" borderId="5" xfId="0" applyFont="1" applyFill="1" applyBorder="1" applyAlignment="1">
      <alignment horizontal="center"/>
    </xf>
    <xf numFmtId="0" fontId="17" fillId="3" borderId="6" xfId="0" applyFont="1" applyFill="1" applyBorder="1" applyAlignment="1">
      <alignment horizontal="center"/>
    </xf>
    <xf numFmtId="0" fontId="17" fillId="3" borderId="7" xfId="0" applyFont="1" applyFill="1" applyBorder="1" applyAlignment="1">
      <alignment horizontal="center"/>
    </xf>
    <xf numFmtId="0" fontId="0" fillId="3" borderId="53" xfId="0" applyFill="1" applyBorder="1" applyAlignment="1">
      <alignment horizontal="center"/>
    </xf>
    <xf numFmtId="0" fontId="17" fillId="11" borderId="9" xfId="0" applyFont="1" applyFill="1" applyBorder="1" applyAlignment="1">
      <alignment wrapText="1"/>
    </xf>
    <xf numFmtId="0" fontId="17" fillId="11" borderId="25" xfId="0" applyFont="1" applyFill="1" applyBorder="1" applyAlignment="1">
      <alignment wrapText="1"/>
    </xf>
    <xf numFmtId="0" fontId="0" fillId="0" borderId="54" xfId="0" applyBorder="1" applyAlignment="1">
      <alignment horizontal="right"/>
    </xf>
    <xf numFmtId="165" fontId="0" fillId="12" borderId="45" xfId="0" applyNumberFormat="1" applyFill="1" applyBorder="1" applyAlignment="1">
      <alignment/>
    </xf>
    <xf numFmtId="165" fontId="0" fillId="12" borderId="32" xfId="0" applyNumberFormat="1" applyFill="1" applyBorder="1" applyAlignment="1">
      <alignment/>
    </xf>
    <xf numFmtId="165" fontId="0" fillId="12" borderId="31" xfId="0" applyNumberFormat="1" applyFill="1" applyBorder="1" applyAlignment="1">
      <alignment/>
    </xf>
    <xf numFmtId="0" fontId="0" fillId="0" borderId="54" xfId="0" applyFill="1" applyBorder="1" applyAlignment="1">
      <alignment horizontal="right"/>
    </xf>
    <xf numFmtId="165" fontId="0" fillId="13" borderId="31" xfId="0" applyNumberFormat="1" applyFill="1" applyBorder="1" applyAlignment="1">
      <alignment/>
    </xf>
    <xf numFmtId="165" fontId="0" fillId="13" borderId="3" xfId="0" applyNumberFormat="1" applyFill="1" applyBorder="1" applyAlignment="1">
      <alignment/>
    </xf>
    <xf numFmtId="165" fontId="0" fillId="13" borderId="27" xfId="0" applyNumberFormat="1" applyFill="1" applyBorder="1" applyAlignment="1">
      <alignment/>
    </xf>
    <xf numFmtId="0" fontId="0" fillId="0" borderId="5" xfId="0" applyBorder="1" applyAlignment="1">
      <alignment horizontal="right"/>
    </xf>
    <xf numFmtId="9" fontId="0" fillId="12" borderId="31" xfId="26" applyFill="1" applyBorder="1" applyAlignment="1">
      <alignment/>
    </xf>
    <xf numFmtId="9" fontId="0" fillId="12" borderId="3" xfId="26" applyFill="1" applyBorder="1" applyAlignment="1">
      <alignment/>
    </xf>
    <xf numFmtId="9" fontId="0" fillId="12" borderId="27" xfId="26" applyFill="1" applyBorder="1" applyAlignment="1">
      <alignment/>
    </xf>
    <xf numFmtId="9" fontId="0" fillId="13" borderId="31" xfId="26" applyFont="1" applyFill="1" applyBorder="1" applyAlignment="1">
      <alignment/>
    </xf>
    <xf numFmtId="9" fontId="0" fillId="13" borderId="3" xfId="26" applyFill="1" applyBorder="1" applyAlignment="1">
      <alignment/>
    </xf>
    <xf numFmtId="9" fontId="0" fillId="13" borderId="27" xfId="26" applyFill="1" applyBorder="1" applyAlignment="1">
      <alignment/>
    </xf>
    <xf numFmtId="9" fontId="0" fillId="13" borderId="28" xfId="26" applyFill="1" applyBorder="1" applyAlignment="1">
      <alignment/>
    </xf>
    <xf numFmtId="9" fontId="0" fillId="13" borderId="29" xfId="26" applyFill="1" applyBorder="1" applyAlignment="1">
      <alignment/>
    </xf>
    <xf numFmtId="9" fontId="0" fillId="13" borderId="30" xfId="26" applyFill="1" applyBorder="1" applyAlignment="1">
      <alignment/>
    </xf>
    <xf numFmtId="0" fontId="0" fillId="3" borderId="55" xfId="0" applyFill="1" applyBorder="1" applyAlignment="1">
      <alignment horizontal="center"/>
    </xf>
    <xf numFmtId="0" fontId="0" fillId="0" borderId="41" xfId="0" applyFill="1" applyBorder="1" applyAlignment="1">
      <alignment horizontal="center"/>
    </xf>
    <xf numFmtId="169" fontId="0" fillId="0" borderId="42" xfId="15" applyNumberFormat="1" applyFill="1" applyBorder="1" applyAlignment="1">
      <alignment horizontal="right"/>
    </xf>
    <xf numFmtId="169" fontId="0" fillId="0" borderId="43" xfId="15" applyNumberFormat="1" applyFill="1" applyBorder="1" applyAlignment="1">
      <alignment/>
    </xf>
    <xf numFmtId="9" fontId="0" fillId="0" borderId="0" xfId="26" applyFill="1" applyBorder="1" applyAlignment="1">
      <alignment horizontal="right"/>
    </xf>
    <xf numFmtId="0" fontId="17" fillId="15" borderId="13" xfId="0" applyFont="1" applyFill="1" applyBorder="1" applyAlignment="1">
      <alignment horizontal="right"/>
    </xf>
    <xf numFmtId="0" fontId="0" fillId="15" borderId="13" xfId="0" applyFill="1" applyBorder="1" applyAlignment="1">
      <alignment/>
    </xf>
    <xf numFmtId="0" fontId="0" fillId="11" borderId="3" xfId="0" applyFill="1" applyBorder="1" applyAlignment="1">
      <alignment/>
    </xf>
    <xf numFmtId="0" fontId="0" fillId="7" borderId="55" xfId="0" applyFont="1" applyFill="1" applyBorder="1" applyAlignment="1">
      <alignment/>
    </xf>
    <xf numFmtId="0" fontId="0" fillId="7" borderId="56" xfId="0" applyFont="1" applyFill="1" applyBorder="1" applyAlignment="1">
      <alignment/>
    </xf>
    <xf numFmtId="0" fontId="0" fillId="0" borderId="9" xfId="0" applyFont="1" applyBorder="1" applyAlignment="1">
      <alignment wrapText="1"/>
    </xf>
    <xf numFmtId="0" fontId="0" fillId="0" borderId="9" xfId="0" applyFont="1" applyBorder="1" applyAlignment="1">
      <alignment/>
    </xf>
    <xf numFmtId="165" fontId="0" fillId="0" borderId="3" xfId="0" applyNumberFormat="1" applyFont="1" applyBorder="1" applyAlignment="1">
      <alignment/>
    </xf>
    <xf numFmtId="168" fontId="0" fillId="0" borderId="3" xfId="17" applyNumberFormat="1" applyFont="1" applyBorder="1" applyAlignment="1">
      <alignment/>
    </xf>
    <xf numFmtId="168" fontId="0" fillId="0" borderId="3" xfId="0" applyNumberFormat="1" applyFont="1" applyBorder="1" applyAlignment="1">
      <alignment/>
    </xf>
    <xf numFmtId="0" fontId="17" fillId="0" borderId="3" xfId="0" applyFont="1" applyBorder="1" applyAlignment="1">
      <alignment horizontal="center" wrapText="1"/>
    </xf>
    <xf numFmtId="177" fontId="0" fillId="0" borderId="3" xfId="25" applyNumberFormat="1" applyFont="1" applyBorder="1" applyAlignment="1" applyProtection="1">
      <alignment horizontal="left"/>
      <protection/>
    </xf>
    <xf numFmtId="6" fontId="0" fillId="0" borderId="3" xfId="0" applyNumberFormat="1" applyBorder="1" applyAlignment="1">
      <alignment/>
    </xf>
    <xf numFmtId="0" fontId="0" fillId="0" borderId="3" xfId="0" applyFont="1" applyBorder="1" applyAlignment="1">
      <alignment wrapText="1"/>
    </xf>
    <xf numFmtId="0" fontId="17" fillId="16" borderId="3" xfId="0" applyFont="1" applyFill="1" applyBorder="1" applyAlignment="1">
      <alignment/>
    </xf>
    <xf numFmtId="0" fontId="0" fillId="0" borderId="0" xfId="23" applyFont="1" applyFill="1" applyBorder="1" applyAlignment="1">
      <alignment horizontal="right"/>
      <protection/>
    </xf>
    <xf numFmtId="172" fontId="35" fillId="0" borderId="0" xfId="0" applyNumberFormat="1" applyFont="1" applyAlignment="1" applyProtection="1">
      <alignment/>
      <protection locked="0"/>
    </xf>
    <xf numFmtId="0" fontId="30" fillId="0" borderId="0" xfId="0" applyFont="1" applyAlignment="1" applyProtection="1">
      <alignment/>
      <protection locked="0"/>
    </xf>
    <xf numFmtId="0" fontId="35" fillId="0" borderId="0" xfId="0" applyFont="1" applyFill="1" applyAlignment="1" applyProtection="1">
      <alignment horizontal="center"/>
      <protection locked="0"/>
    </xf>
    <xf numFmtId="168" fontId="35" fillId="0" borderId="3" xfId="17" applyNumberFormat="1" applyFont="1" applyFill="1" applyBorder="1" applyAlignment="1" applyProtection="1">
      <alignment horizontal="center"/>
      <protection locked="0"/>
    </xf>
    <xf numFmtId="0" fontId="24" fillId="0" borderId="3" xfId="0" applyFont="1" applyBorder="1" applyAlignment="1">
      <alignment/>
    </xf>
    <xf numFmtId="0" fontId="27" fillId="4" borderId="0" xfId="0" applyFont="1" applyFill="1" applyAlignment="1">
      <alignment horizontal="left"/>
    </xf>
    <xf numFmtId="0" fontId="37" fillId="4" borderId="0" xfId="0" applyFont="1" applyFill="1" applyAlignment="1">
      <alignment horizontal="centerContinuous"/>
    </xf>
    <xf numFmtId="173" fontId="35" fillId="0" borderId="0" xfId="0" applyNumberFormat="1" applyFont="1" applyAlignment="1" applyProtection="1">
      <alignment/>
      <protection locked="0"/>
    </xf>
    <xf numFmtId="0" fontId="35" fillId="0" borderId="0" xfId="0" applyFont="1" applyAlignment="1" applyProtection="1">
      <alignment horizontal="center"/>
      <protection locked="0"/>
    </xf>
    <xf numFmtId="173" fontId="17" fillId="0" borderId="3" xfId="0" applyNumberFormat="1" applyFont="1" applyBorder="1" applyAlignment="1">
      <alignment wrapText="1"/>
    </xf>
    <xf numFmtId="181" fontId="30" fillId="6" borderId="0" xfId="0" applyNumberFormat="1" applyFont="1" applyFill="1" applyAlignment="1" applyProtection="1">
      <alignment/>
      <protection locked="0"/>
    </xf>
    <xf numFmtId="168" fontId="0" fillId="0" borderId="0" xfId="17" applyNumberFormat="1" applyAlignment="1">
      <alignment/>
    </xf>
    <xf numFmtId="181" fontId="30" fillId="0" borderId="0" xfId="0" applyNumberFormat="1" applyFont="1" applyAlignment="1" applyProtection="1">
      <alignment/>
      <protection locked="0"/>
    </xf>
    <xf numFmtId="181" fontId="30" fillId="0" borderId="0" xfId="0" applyNumberFormat="1" applyFont="1" applyFill="1" applyAlignment="1" applyProtection="1">
      <alignment/>
      <protection locked="0"/>
    </xf>
    <xf numFmtId="0" fontId="35" fillId="0" borderId="3" xfId="0" applyFont="1" applyBorder="1" applyAlignment="1">
      <alignment horizontal="center" wrapText="1"/>
    </xf>
    <xf numFmtId="173" fontId="35" fillId="0" borderId="3" xfId="0" applyNumberFormat="1" applyFont="1" applyBorder="1" applyAlignment="1">
      <alignment wrapText="1"/>
    </xf>
    <xf numFmtId="0" fontId="30" fillId="6" borderId="3" xfId="0" applyNumberFormat="1" applyFont="1" applyFill="1" applyBorder="1" applyAlignment="1">
      <alignment horizontal="center"/>
    </xf>
    <xf numFmtId="180" fontId="30" fillId="6" borderId="3" xfId="0" applyNumberFormat="1" applyFont="1" applyFill="1" applyBorder="1" applyAlignment="1">
      <alignment/>
    </xf>
    <xf numFmtId="1" fontId="30" fillId="6" borderId="3" xfId="0" applyNumberFormat="1" applyFont="1" applyFill="1" applyBorder="1" applyAlignment="1">
      <alignment horizontal="center"/>
    </xf>
    <xf numFmtId="165" fontId="30" fillId="6" borderId="3" xfId="0" applyNumberFormat="1" applyFont="1" applyFill="1" applyBorder="1" applyAlignment="1">
      <alignment horizontal="center"/>
    </xf>
    <xf numFmtId="181" fontId="30" fillId="6" borderId="3" xfId="0" applyNumberFormat="1" applyFont="1" applyFill="1" applyBorder="1" applyAlignment="1">
      <alignment horizontal="right"/>
    </xf>
    <xf numFmtId="170" fontId="30" fillId="6" borderId="3" xfId="0" applyNumberFormat="1" applyFont="1" applyFill="1" applyBorder="1" applyAlignment="1">
      <alignment horizontal="center"/>
    </xf>
    <xf numFmtId="0" fontId="38" fillId="0" borderId="3" xfId="0" applyNumberFormat="1" applyFont="1" applyBorder="1" applyAlignment="1">
      <alignment horizontal="center"/>
    </xf>
    <xf numFmtId="180" fontId="38" fillId="0" borderId="3" xfId="0" applyNumberFormat="1" applyFont="1" applyBorder="1" applyAlignment="1">
      <alignment/>
    </xf>
    <xf numFmtId="1" fontId="38" fillId="0" borderId="3" xfId="0" applyNumberFormat="1" applyFont="1" applyFill="1" applyBorder="1" applyAlignment="1">
      <alignment horizontal="center"/>
    </xf>
    <xf numFmtId="165" fontId="30" fillId="0" borderId="3" xfId="0" applyNumberFormat="1" applyFont="1" applyFill="1" applyBorder="1" applyAlignment="1">
      <alignment horizontal="center"/>
    </xf>
    <xf numFmtId="181" fontId="38" fillId="0" borderId="3" xfId="0" applyNumberFormat="1" applyFont="1" applyBorder="1" applyAlignment="1">
      <alignment horizontal="right"/>
    </xf>
    <xf numFmtId="170" fontId="38" fillId="0" borderId="3" xfId="0" applyNumberFormat="1" applyFont="1" applyFill="1" applyBorder="1" applyAlignment="1">
      <alignment horizontal="center"/>
    </xf>
    <xf numFmtId="170" fontId="30" fillId="0" borderId="3" xfId="0" applyNumberFormat="1" applyFont="1" applyFill="1" applyBorder="1" applyAlignment="1">
      <alignment horizontal="center"/>
    </xf>
    <xf numFmtId="0" fontId="30" fillId="0" borderId="3" xfId="0" applyNumberFormat="1" applyFont="1" applyBorder="1" applyAlignment="1">
      <alignment horizontal="center"/>
    </xf>
    <xf numFmtId="180" fontId="30" fillId="0" borderId="3" xfId="0" applyNumberFormat="1" applyFont="1" applyBorder="1" applyAlignment="1">
      <alignment/>
    </xf>
    <xf numFmtId="1" fontId="30" fillId="0" borderId="3" xfId="0" applyNumberFormat="1" applyFont="1" applyFill="1" applyBorder="1" applyAlignment="1">
      <alignment horizontal="center"/>
    </xf>
    <xf numFmtId="181" fontId="30" fillId="0" borderId="3" xfId="0" applyNumberFormat="1" applyFont="1" applyBorder="1" applyAlignment="1">
      <alignment horizontal="right"/>
    </xf>
    <xf numFmtId="170" fontId="0" fillId="0" borderId="3" xfId="0" applyNumberFormat="1" applyBorder="1" applyAlignment="1">
      <alignment/>
    </xf>
    <xf numFmtId="0" fontId="30" fillId="0" borderId="0" xfId="0" applyNumberFormat="1" applyFont="1" applyBorder="1" applyAlignment="1">
      <alignment horizontal="center"/>
    </xf>
    <xf numFmtId="180" fontId="30" fillId="0" borderId="0" xfId="0" applyNumberFormat="1" applyFont="1" applyBorder="1" applyAlignment="1">
      <alignment/>
    </xf>
    <xf numFmtId="1" fontId="30" fillId="0" borderId="0" xfId="0" applyNumberFormat="1" applyFont="1" applyFill="1" applyBorder="1" applyAlignment="1">
      <alignment horizontal="center"/>
    </xf>
    <xf numFmtId="165" fontId="30" fillId="0" borderId="0" xfId="0" applyNumberFormat="1" applyFont="1" applyFill="1" applyBorder="1" applyAlignment="1">
      <alignment horizontal="center"/>
    </xf>
    <xf numFmtId="181" fontId="30" fillId="0" borderId="0" xfId="0" applyNumberFormat="1" applyFont="1" applyBorder="1" applyAlignment="1">
      <alignment horizontal="right"/>
    </xf>
    <xf numFmtId="170" fontId="30" fillId="0" borderId="0" xfId="0" applyNumberFormat="1" applyFont="1" applyFill="1" applyBorder="1" applyAlignment="1">
      <alignment horizontal="center"/>
    </xf>
    <xf numFmtId="170" fontId="0" fillId="0" borderId="0" xfId="0" applyNumberFormat="1" applyBorder="1" applyAlignment="1">
      <alignment/>
    </xf>
    <xf numFmtId="0" fontId="30" fillId="0" borderId="0" xfId="0" applyFont="1" applyAlignment="1" applyProtection="1">
      <alignment horizontal="center"/>
      <protection locked="0"/>
    </xf>
    <xf numFmtId="0" fontId="17" fillId="0" borderId="16" xfId="0" applyFont="1" applyBorder="1" applyAlignment="1">
      <alignment horizontal="center"/>
    </xf>
    <xf numFmtId="173" fontId="17" fillId="0" borderId="22" xfId="0" applyNumberFormat="1" applyFont="1" applyBorder="1" applyAlignment="1">
      <alignment/>
    </xf>
    <xf numFmtId="0" fontId="17" fillId="0" borderId="22" xfId="0" applyFont="1" applyBorder="1" applyAlignment="1">
      <alignment horizontal="center" wrapText="1"/>
    </xf>
    <xf numFmtId="0" fontId="17" fillId="0" borderId="23" xfId="0" applyFont="1" applyBorder="1" applyAlignment="1">
      <alignment horizontal="center" wrapText="1"/>
    </xf>
    <xf numFmtId="0" fontId="17" fillId="0" borderId="13" xfId="0" applyFont="1" applyBorder="1" applyAlignment="1">
      <alignment horizontal="center" wrapText="1"/>
    </xf>
    <xf numFmtId="170" fontId="30" fillId="6" borderId="0" xfId="0" applyNumberFormat="1" applyFont="1" applyFill="1" applyAlignment="1" applyProtection="1">
      <alignment horizontal="center"/>
      <protection locked="0"/>
    </xf>
    <xf numFmtId="170" fontId="30" fillId="0" borderId="0" xfId="0" applyNumberFormat="1" applyFont="1" applyFill="1" applyAlignment="1" applyProtection="1">
      <alignment horizontal="center"/>
      <protection locked="0"/>
    </xf>
    <xf numFmtId="0" fontId="35" fillId="0" borderId="16" xfId="0" applyFont="1" applyBorder="1" applyAlignment="1">
      <alignment horizontal="center" wrapText="1"/>
    </xf>
    <xf numFmtId="173" fontId="35" fillId="0" borderId="22" xfId="0" applyNumberFormat="1" applyFont="1" applyBorder="1" applyAlignment="1">
      <alignment wrapText="1"/>
    </xf>
    <xf numFmtId="0" fontId="35" fillId="0" borderId="22" xfId="0" applyFont="1" applyBorder="1" applyAlignment="1">
      <alignment horizontal="center" wrapText="1"/>
    </xf>
    <xf numFmtId="0" fontId="35" fillId="0" borderId="23" xfId="0" applyFont="1" applyBorder="1" applyAlignment="1">
      <alignment horizontal="center" wrapText="1"/>
    </xf>
    <xf numFmtId="0" fontId="35" fillId="0" borderId="47" xfId="0" applyFont="1" applyBorder="1" applyAlignment="1">
      <alignment horizontal="center" wrapText="1"/>
    </xf>
    <xf numFmtId="181" fontId="30" fillId="6" borderId="3" xfId="0" applyNumberFormat="1" applyFont="1" applyFill="1" applyBorder="1" applyAlignment="1">
      <alignment/>
    </xf>
    <xf numFmtId="182" fontId="30" fillId="6" borderId="3" xfId="17" applyNumberFormat="1" applyFont="1" applyFill="1" applyBorder="1" applyAlignment="1">
      <alignment horizontal="right"/>
    </xf>
    <xf numFmtId="0" fontId="30" fillId="0" borderId="3" xfId="0" applyFont="1" applyBorder="1" applyAlignment="1">
      <alignment/>
    </xf>
    <xf numFmtId="181" fontId="38" fillId="0" borderId="3" xfId="0" applyNumberFormat="1" applyFont="1" applyBorder="1" applyAlignment="1">
      <alignment/>
    </xf>
    <xf numFmtId="182" fontId="30" fillId="0" borderId="3" xfId="0" applyNumberFormat="1" applyFont="1" applyBorder="1" applyAlignment="1">
      <alignment/>
    </xf>
    <xf numFmtId="181" fontId="30" fillId="0" borderId="3" xfId="0" applyNumberFormat="1" applyFont="1" applyBorder="1" applyAlignment="1">
      <alignment/>
    </xf>
    <xf numFmtId="165" fontId="11" fillId="0" borderId="0" xfId="0" applyNumberFormat="1" applyFont="1" applyAlignment="1">
      <alignment/>
    </xf>
    <xf numFmtId="0" fontId="18" fillId="11" borderId="47" xfId="0" applyFont="1" applyFill="1" applyBorder="1" applyAlignment="1">
      <alignment horizontal="center" wrapText="1"/>
    </xf>
    <xf numFmtId="178" fontId="0" fillId="0" borderId="3" xfId="15" applyNumberFormat="1" applyBorder="1" applyAlignment="1">
      <alignment/>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33"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17" fillId="7" borderId="12" xfId="0" applyFont="1" applyFill="1" applyBorder="1" applyAlignment="1">
      <alignment horizontal="center"/>
    </xf>
    <xf numFmtId="0" fontId="17" fillId="7" borderId="17" xfId="0" applyFont="1" applyFill="1" applyBorder="1" applyAlignment="1">
      <alignment horizontal="center"/>
    </xf>
    <xf numFmtId="0" fontId="17" fillId="2" borderId="5" xfId="0" applyFont="1" applyFill="1" applyBorder="1" applyAlignment="1">
      <alignment horizontal="center"/>
    </xf>
    <xf numFmtId="0" fontId="17" fillId="2" borderId="6" xfId="0" applyFont="1" applyFill="1" applyBorder="1" applyAlignment="1">
      <alignment horizontal="center"/>
    </xf>
    <xf numFmtId="0" fontId="17" fillId="2" borderId="7" xfId="0" applyFont="1" applyFill="1" applyBorder="1" applyAlignment="1">
      <alignment horizontal="center"/>
    </xf>
    <xf numFmtId="0" fontId="17" fillId="7" borderId="33" xfId="0" applyFont="1" applyFill="1" applyBorder="1" applyAlignment="1">
      <alignment horizontal="center"/>
    </xf>
    <xf numFmtId="0" fontId="17" fillId="7" borderId="11" xfId="0" applyFont="1" applyFill="1" applyBorder="1" applyAlignment="1">
      <alignment horizontal="center"/>
    </xf>
    <xf numFmtId="0" fontId="17" fillId="7" borderId="10" xfId="0" applyFont="1" applyFill="1" applyBorder="1" applyAlignment="1">
      <alignment horizontal="center"/>
    </xf>
    <xf numFmtId="0" fontId="17" fillId="2" borderId="12" xfId="0" applyFont="1" applyFill="1" applyBorder="1" applyAlignment="1">
      <alignment horizontal="center"/>
    </xf>
    <xf numFmtId="0" fontId="17" fillId="2" borderId="10" xfId="0" applyFont="1" applyFill="1" applyBorder="1" applyAlignment="1">
      <alignment horizontal="center"/>
    </xf>
    <xf numFmtId="0" fontId="17" fillId="2" borderId="11" xfId="0" applyFont="1" applyFill="1" applyBorder="1" applyAlignment="1">
      <alignment horizontal="center"/>
    </xf>
    <xf numFmtId="0" fontId="0" fillId="7" borderId="51" xfId="0" applyFont="1" applyFill="1" applyBorder="1" applyAlignment="1">
      <alignment horizontal="center"/>
    </xf>
    <xf numFmtId="0" fontId="0" fillId="0" borderId="0" xfId="0" applyFont="1" applyAlignment="1">
      <alignment horizontal="left" wrapText="1"/>
    </xf>
    <xf numFmtId="0" fontId="17" fillId="7" borderId="12" xfId="0" applyFont="1" applyFill="1" applyBorder="1" applyAlignment="1">
      <alignment/>
    </xf>
    <xf numFmtId="0" fontId="17" fillId="7" borderId="10" xfId="0" applyFont="1" applyFill="1" applyBorder="1" applyAlignment="1">
      <alignment/>
    </xf>
    <xf numFmtId="0" fontId="17" fillId="7" borderId="11" xfId="0" applyFont="1" applyFill="1" applyBorder="1" applyAlignment="1">
      <alignment/>
    </xf>
    <xf numFmtId="0" fontId="17" fillId="7" borderId="16" xfId="0" applyFont="1" applyFill="1" applyBorder="1" applyAlignment="1">
      <alignment/>
    </xf>
    <xf numFmtId="0" fontId="17" fillId="7" borderId="22" xfId="0" applyFont="1" applyFill="1" applyBorder="1" applyAlignment="1">
      <alignment/>
    </xf>
    <xf numFmtId="0" fontId="17" fillId="7" borderId="23" xfId="0" applyFont="1" applyFill="1" applyBorder="1" applyAlignment="1">
      <alignment/>
    </xf>
    <xf numFmtId="0" fontId="0" fillId="7" borderId="52" xfId="0" applyFont="1" applyFill="1" applyBorder="1" applyAlignment="1">
      <alignment horizontal="center"/>
    </xf>
    <xf numFmtId="0" fontId="32" fillId="0" borderId="0" xfId="0" applyFont="1" applyAlignment="1">
      <alignment/>
    </xf>
    <xf numFmtId="0" fontId="27" fillId="4" borderId="0" xfId="0" applyFont="1" applyFill="1" applyAlignment="1">
      <alignment horizontal="center"/>
    </xf>
    <xf numFmtId="0" fontId="17" fillId="0" borderId="12" xfId="0" applyNumberFormat="1" applyFont="1" applyFill="1" applyBorder="1" applyAlignment="1" applyProtection="1">
      <alignment horizontal="center"/>
      <protection/>
    </xf>
    <xf numFmtId="0" fontId="17" fillId="0" borderId="10" xfId="0" applyNumberFormat="1" applyFont="1" applyFill="1" applyBorder="1" applyAlignment="1" applyProtection="1">
      <alignment horizontal="center"/>
      <protection/>
    </xf>
    <xf numFmtId="0" fontId="17" fillId="0" borderId="11" xfId="0" applyNumberFormat="1" applyFont="1" applyFill="1" applyBorder="1" applyAlignment="1" applyProtection="1">
      <alignment horizontal="center"/>
      <protection/>
    </xf>
  </cellXfs>
  <cellStyles count="13">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New Mobile Home" xfId="23"/>
    <cellStyle name="Normal_SGCSubMeterDAT" xfId="24"/>
    <cellStyle name="Normal_T_Energy Use and Savings"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1.emf" /><Relationship Id="rId5" Type="http://schemas.openxmlformats.org/officeDocument/2006/relationships/image" Target="../media/image1.emf" /><Relationship Id="rId6" Type="http://schemas.openxmlformats.org/officeDocument/2006/relationships/image" Target="../media/image12.emf" /><Relationship Id="rId7" Type="http://schemas.openxmlformats.org/officeDocument/2006/relationships/image" Target="../media/image10.emf" /><Relationship Id="rId8" Type="http://schemas.openxmlformats.org/officeDocument/2006/relationships/image" Target="../media/image8.emf" /><Relationship Id="rId9" Type="http://schemas.openxmlformats.org/officeDocument/2006/relationships/image" Target="../media/image7.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15.emf" /><Relationship Id="rId13" Type="http://schemas.openxmlformats.org/officeDocument/2006/relationships/image" Target="../media/image16.emf" /><Relationship Id="rId14" Type="http://schemas.openxmlformats.org/officeDocument/2006/relationships/image" Target="../media/image14.emf" /><Relationship Id="rId15" Type="http://schemas.openxmlformats.org/officeDocument/2006/relationships/image" Target="../media/image9.emf" /><Relationship Id="rId16"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6"/>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7"/>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8"/>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8"/>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9"/>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10"/>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11"/>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12"/>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3"/>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4"/>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5"/>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6"/>
        <a:stretch>
          <a:fillRect/>
        </a:stretch>
      </xdr:blipFill>
      <xdr:spPr>
        <a:xfrm>
          <a:off x="6915150" y="1152525"/>
          <a:ext cx="5619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WXM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GCM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RTF\Proposed%20Measures\Heat%20Pump%20&amp;%20CAC%20Revisions\HPumpCnvertMHNoPTCSre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asureTable"/>
      <sheetName val="ProData"/>
      <sheetName val="ResWXMH"/>
      <sheetName val="924 SF"/>
      <sheetName val="1568 SF"/>
      <sheetName val="UAOptimizer"/>
      <sheetName val="Cost Effectiveness"/>
      <sheetName val="LookupTable"/>
      <sheetName val="ResWXMH Base Case"/>
    </sheetNames>
    <sheetDataSet>
      <sheetData sheetId="6">
        <row r="15">
          <cell r="AW15">
            <v>1625.038412474848</v>
          </cell>
          <cell r="AX15">
            <v>903.6050895492137</v>
          </cell>
          <cell r="AY15">
            <v>3138.551457303969</v>
          </cell>
          <cell r="AZ15">
            <v>2183.7045122060076</v>
          </cell>
          <cell r="BA15">
            <v>2072.0288291673382</v>
          </cell>
        </row>
        <row r="24">
          <cell r="P24">
            <v>5235.685511573807</v>
          </cell>
        </row>
        <row r="25">
          <cell r="P25">
            <v>5996.8408512864635</v>
          </cell>
        </row>
        <row r="26">
          <cell r="P26">
            <v>7680.419535694032</v>
          </cell>
        </row>
        <row r="27">
          <cell r="P27">
            <v>9003.231359157162</v>
          </cell>
        </row>
        <row r="28">
          <cell r="P28">
            <v>10610.288526279455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asureTable"/>
      <sheetName val="ProData"/>
      <sheetName val="MHSGC"/>
      <sheetName val="924 SF"/>
      <sheetName val="1568 SF"/>
      <sheetName val="2352 SF"/>
      <sheetName val="UAOptimizer"/>
      <sheetName val="Cost-Effectiveness"/>
      <sheetName val="Lookup Table"/>
    </sheetNames>
    <sheetDataSet>
      <sheetData sheetId="7">
        <row r="8">
          <cell r="L8">
            <v>7181.449668627228</v>
          </cell>
          <cell r="M8">
            <v>4992.9540671015</v>
          </cell>
        </row>
        <row r="9">
          <cell r="L9">
            <v>8225.937165802428</v>
          </cell>
          <cell r="M9">
            <v>5425.610179847998</v>
          </cell>
        </row>
        <row r="10">
          <cell r="L10">
            <v>10560.77361043584</v>
          </cell>
          <cell r="M10">
            <v>7165.56841390285</v>
          </cell>
        </row>
        <row r="11">
          <cell r="L11">
            <v>12395.287959790552</v>
          </cell>
          <cell r="M11">
            <v>8566.706380864907</v>
          </cell>
        </row>
        <row r="12">
          <cell r="L12">
            <v>14692.447597109136</v>
          </cell>
          <cell r="M12">
            <v>10172.14353863655</v>
          </cell>
        </row>
        <row r="84">
          <cell r="AC84">
            <v>1365.1980715679997</v>
          </cell>
          <cell r="AD84">
            <v>697.8158350655998</v>
          </cell>
          <cell r="AE84">
            <v>3647.6287833081597</v>
          </cell>
          <cell r="AF84">
            <v>2017.0629606508796</v>
          </cell>
          <cell r="AG84">
            <v>1886.2128552383992</v>
          </cell>
        </row>
        <row r="92">
          <cell r="AC92">
            <v>963.5508548159999</v>
          </cell>
          <cell r="AD92">
            <v>464.8733403455998</v>
          </cell>
          <cell r="AE92">
            <v>2716.4679317241594</v>
          </cell>
          <cell r="AF92">
            <v>1480.79618777088</v>
          </cell>
          <cell r="AG92">
            <v>1364.9413242143996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asure Table - Part Load Adj."/>
      <sheetName val="MeasureTable"/>
      <sheetName val="ProData"/>
      <sheetName val="HP Conversions"/>
      <sheetName val="CAC &amp; HP Convert Use &amp; Savings"/>
      <sheetName val="CAC &amp; HP Use &amp; Savings"/>
      <sheetName val="Central AC and HP Cost vs SEER"/>
      <sheetName val="Zonal to Ducted System Cost"/>
      <sheetName val="Energy Star Central AC Models"/>
      <sheetName val="Energy Star Heat Pump Models"/>
      <sheetName val="SGC SubMetered Use "/>
      <sheetName val="Sales Wght Avg SEER by Vintage "/>
      <sheetName val="LookupTable"/>
    </sheetNames>
    <sheetDataSet>
      <sheetData sheetId="7">
        <row r="4">
          <cell r="E4">
            <v>2080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8"/>
  <dimension ref="A2:AL39"/>
  <sheetViews>
    <sheetView workbookViewId="0" topLeftCell="A1">
      <selection activeCell="D4" sqref="D4:D39"/>
    </sheetView>
  </sheetViews>
  <sheetFormatPr defaultColWidth="9.140625" defaultRowHeight="12.75"/>
  <cols>
    <col min="1" max="1" width="27.57421875" style="0" customWidth="1"/>
    <col min="2" max="2" width="47.7109375" style="0" customWidth="1"/>
    <col min="3" max="3" width="18.421875" style="0" customWidth="1"/>
    <col min="4" max="4" width="8.421875" style="0" customWidth="1"/>
    <col min="5" max="5" width="11.57421875" style="0" customWidth="1"/>
    <col min="6" max="6" width="10.8515625" style="0" customWidth="1"/>
    <col min="7" max="7" width="11.851562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3.0039062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17.5742187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s>
  <sheetData>
    <row r="1" ht="13.5" thickBot="1"/>
    <row r="2" spans="1:36" s="76" customFormat="1" ht="33" customHeight="1" thickBot="1">
      <c r="A2" s="452" t="s">
        <v>111</v>
      </c>
      <c r="B2" s="453"/>
      <c r="C2" s="453"/>
      <c r="D2" s="453"/>
      <c r="E2" s="453"/>
      <c r="F2" s="453"/>
      <c r="G2" s="453"/>
      <c r="H2" s="453"/>
      <c r="I2" s="453"/>
      <c r="J2" s="453"/>
      <c r="K2" s="453"/>
      <c r="L2" s="453"/>
      <c r="M2" s="453"/>
      <c r="N2" s="453"/>
      <c r="O2" s="453"/>
      <c r="P2" s="453"/>
      <c r="Q2" s="453"/>
      <c r="R2" s="453"/>
      <c r="S2" s="453"/>
      <c r="T2" s="453"/>
      <c r="U2" s="453"/>
      <c r="V2" s="453"/>
      <c r="W2" s="454"/>
      <c r="X2" s="452" t="s">
        <v>112</v>
      </c>
      <c r="Y2" s="453"/>
      <c r="Z2" s="454"/>
      <c r="AA2" s="453" t="s">
        <v>113</v>
      </c>
      <c r="AB2" s="453"/>
      <c r="AC2" s="453"/>
      <c r="AD2" s="456"/>
      <c r="AE2" s="455" t="s">
        <v>114</v>
      </c>
      <c r="AF2" s="453"/>
      <c r="AG2" s="453"/>
      <c r="AH2" s="456"/>
      <c r="AI2" s="74"/>
      <c r="AJ2" s="75"/>
    </row>
    <row r="3" spans="1:38" s="80" customFormat="1" ht="79.5" thickBot="1">
      <c r="A3" s="77" t="s">
        <v>115</v>
      </c>
      <c r="B3" s="78" t="s">
        <v>116</v>
      </c>
      <c r="C3" s="78" t="s">
        <v>117</v>
      </c>
      <c r="D3" s="78" t="s">
        <v>118</v>
      </c>
      <c r="E3" s="78" t="s">
        <v>148</v>
      </c>
      <c r="F3" s="78" t="s">
        <v>149</v>
      </c>
      <c r="G3" s="78" t="s">
        <v>150</v>
      </c>
      <c r="H3" s="78" t="s">
        <v>119</v>
      </c>
      <c r="I3" s="78" t="s">
        <v>151</v>
      </c>
      <c r="J3" s="78" t="s">
        <v>120</v>
      </c>
      <c r="K3" s="78" t="s">
        <v>121</v>
      </c>
      <c r="L3" s="78" t="s">
        <v>122</v>
      </c>
      <c r="M3" s="78" t="s">
        <v>123</v>
      </c>
      <c r="N3" s="78" t="s">
        <v>152</v>
      </c>
      <c r="O3" s="78" t="s">
        <v>124</v>
      </c>
      <c r="P3" s="78" t="s">
        <v>153</v>
      </c>
      <c r="Q3" s="78" t="s">
        <v>125</v>
      </c>
      <c r="R3" s="78" t="s">
        <v>126</v>
      </c>
      <c r="S3" s="78" t="s">
        <v>130</v>
      </c>
      <c r="T3" s="78" t="s">
        <v>131</v>
      </c>
      <c r="U3" s="78" t="s">
        <v>132</v>
      </c>
      <c r="V3" s="78" t="s">
        <v>133</v>
      </c>
      <c r="W3" s="78" t="s">
        <v>134</v>
      </c>
      <c r="X3" s="77" t="s">
        <v>135</v>
      </c>
      <c r="Y3" s="77" t="s">
        <v>136</v>
      </c>
      <c r="Z3" s="78" t="s">
        <v>137</v>
      </c>
      <c r="AA3" s="78" t="s">
        <v>138</v>
      </c>
      <c r="AB3" s="78" t="s">
        <v>139</v>
      </c>
      <c r="AC3" s="78" t="s">
        <v>140</v>
      </c>
      <c r="AD3" s="78" t="s">
        <v>141</v>
      </c>
      <c r="AE3" s="78" t="s">
        <v>142</v>
      </c>
      <c r="AF3" s="78" t="s">
        <v>143</v>
      </c>
      <c r="AG3" s="78" t="s">
        <v>144</v>
      </c>
      <c r="AH3" s="79" t="s">
        <v>134</v>
      </c>
      <c r="AI3" s="95" t="s">
        <v>145</v>
      </c>
      <c r="AJ3" s="95" t="s">
        <v>146</v>
      </c>
      <c r="AK3" s="76"/>
      <c r="AL3" s="76"/>
    </row>
    <row r="4" spans="1:36" ht="67.5">
      <c r="A4" s="88" t="s">
        <v>416</v>
      </c>
      <c r="B4" s="81" t="s">
        <v>446</v>
      </c>
      <c r="C4" s="81" t="s">
        <v>442</v>
      </c>
      <c r="D4" s="81" t="s">
        <v>156</v>
      </c>
      <c r="E4" s="82">
        <v>885.86</v>
      </c>
      <c r="F4" s="82">
        <v>15.008332737965063</v>
      </c>
      <c r="G4" s="82">
        <v>14.473712921142578</v>
      </c>
      <c r="H4" s="83">
        <v>18</v>
      </c>
      <c r="I4" s="83" t="s">
        <v>157</v>
      </c>
      <c r="J4" s="83">
        <v>2217.4940451159546</v>
      </c>
      <c r="K4" s="83">
        <v>2386.577966056046</v>
      </c>
      <c r="L4" s="85">
        <v>0.3154447376728058</v>
      </c>
      <c r="M4" s="85">
        <v>0.5439233476505195</v>
      </c>
      <c r="N4" s="89">
        <v>0.3711853966752737</v>
      </c>
      <c r="O4" s="89">
        <v>0.07496882475965098</v>
      </c>
      <c r="P4" s="89">
        <v>0.006064630247576282</v>
      </c>
      <c r="Q4" s="89">
        <v>0.3711853966752737</v>
      </c>
      <c r="R4" s="84">
        <v>0.3519401415827074</v>
      </c>
      <c r="S4" s="84">
        <v>0.008150930556212852</v>
      </c>
      <c r="T4" s="84">
        <v>0.05228798480160847</v>
      </c>
      <c r="U4" s="84">
        <v>0.41200944232973624</v>
      </c>
      <c r="V4" s="84">
        <v>0.040824045654462515</v>
      </c>
      <c r="W4" s="85">
        <v>1.1099828980884634</v>
      </c>
      <c r="X4" s="85">
        <v>0.18394014195076003</v>
      </c>
      <c r="Y4" s="90">
        <v>1.7107443809509277</v>
      </c>
      <c r="Z4" s="85">
        <v>0.1709083781191731</v>
      </c>
      <c r="AA4" s="84" t="s">
        <v>158</v>
      </c>
      <c r="AB4" s="91" t="s">
        <v>159</v>
      </c>
      <c r="AC4" s="84">
        <v>0</v>
      </c>
      <c r="AD4" s="84">
        <v>0.07152783786170097</v>
      </c>
      <c r="AE4" s="84">
        <v>0.45221882901550153</v>
      </c>
      <c r="AF4" s="84">
        <v>0.6544456717239752</v>
      </c>
      <c r="AG4" s="84">
        <v>0.20222684270847363</v>
      </c>
      <c r="AH4" s="85">
        <v>1.4471880198989713</v>
      </c>
      <c r="AI4" s="96" t="s">
        <v>160</v>
      </c>
      <c r="AJ4" s="96" t="s">
        <v>161</v>
      </c>
    </row>
    <row r="5" spans="1:36" ht="67.5">
      <c r="A5" s="88" t="s">
        <v>422</v>
      </c>
      <c r="B5" s="81" t="s">
        <v>446</v>
      </c>
      <c r="C5" s="81" t="s">
        <v>442</v>
      </c>
      <c r="D5" s="81" t="s">
        <v>381</v>
      </c>
      <c r="E5" s="82">
        <v>885.86</v>
      </c>
      <c r="F5" s="82">
        <v>15.008332737965063</v>
      </c>
      <c r="G5" s="82">
        <v>14.473712921142578</v>
      </c>
      <c r="H5" s="83">
        <v>18</v>
      </c>
      <c r="I5" s="83" t="s">
        <v>157</v>
      </c>
      <c r="J5" s="83">
        <v>2134.2120352763823</v>
      </c>
      <c r="K5" s="83">
        <v>2296.9457029662067</v>
      </c>
      <c r="L5" s="85">
        <v>0.3277541399002075</v>
      </c>
      <c r="M5" s="85">
        <v>0.5439233476505195</v>
      </c>
      <c r="N5" s="89">
        <v>0.3856699302395371</v>
      </c>
      <c r="O5" s="89">
        <v>0.07789428591257053</v>
      </c>
      <c r="P5" s="89">
        <v>0.006301286487726575</v>
      </c>
      <c r="Q5" s="89">
        <v>0.3856699302395371</v>
      </c>
      <c r="R5" s="84">
        <v>0.33964186541630803</v>
      </c>
      <c r="S5" s="84">
        <v>0.008468999177120184</v>
      </c>
      <c r="T5" s="84">
        <v>0.0511287706623375</v>
      </c>
      <c r="U5" s="84">
        <v>0.39885560031354206</v>
      </c>
      <c r="V5" s="84">
        <v>0.013185670074004952</v>
      </c>
      <c r="W5" s="85">
        <v>1.0341890021496243</v>
      </c>
      <c r="X5" s="85">
        <v>0.18439392599199786</v>
      </c>
      <c r="Y5" s="90">
        <v>1.650556206703186</v>
      </c>
      <c r="Z5" s="85">
        <v>0.1713300125361188</v>
      </c>
      <c r="AA5" s="84" t="s">
        <v>158</v>
      </c>
      <c r="AB5" s="91" t="s">
        <v>159</v>
      </c>
      <c r="AC5" s="84">
        <v>0</v>
      </c>
      <c r="AD5" s="84">
        <v>0.07152783786170096</v>
      </c>
      <c r="AE5" s="84">
        <v>0.4698654790883147</v>
      </c>
      <c r="AF5" s="84">
        <v>0.6417134524023773</v>
      </c>
      <c r="AG5" s="84">
        <v>0.1718479733140626</v>
      </c>
      <c r="AH5" s="85">
        <v>1.3657386655591324</v>
      </c>
      <c r="AI5" s="96" t="s">
        <v>160</v>
      </c>
      <c r="AJ5" s="96" t="s">
        <v>161</v>
      </c>
    </row>
    <row r="6" spans="1:36" ht="67.5">
      <c r="A6" s="88" t="s">
        <v>421</v>
      </c>
      <c r="B6" s="81" t="s">
        <v>446</v>
      </c>
      <c r="C6" s="81" t="s">
        <v>442</v>
      </c>
      <c r="D6" s="81" t="s">
        <v>380</v>
      </c>
      <c r="E6" s="82">
        <v>885.86</v>
      </c>
      <c r="F6" s="82">
        <v>15.008332737965063</v>
      </c>
      <c r="G6" s="82">
        <v>14.473712921142578</v>
      </c>
      <c r="H6" s="83">
        <v>18</v>
      </c>
      <c r="I6" s="83" t="s">
        <v>157</v>
      </c>
      <c r="J6" s="83">
        <v>2096.1202986789344</v>
      </c>
      <c r="K6" s="83">
        <v>2255.9494714532034</v>
      </c>
      <c r="L6" s="85">
        <v>0.333710253238678</v>
      </c>
      <c r="M6" s="85">
        <v>0.5439233476505195</v>
      </c>
      <c r="N6" s="89">
        <v>0.3926785152933145</v>
      </c>
      <c r="O6" s="89">
        <v>0.07930981946915978</v>
      </c>
      <c r="P6" s="89">
        <v>0.006415796587775134</v>
      </c>
      <c r="Q6" s="89">
        <v>0.3926785152933145</v>
      </c>
      <c r="R6" s="84">
        <v>0.3360543643160428</v>
      </c>
      <c r="S6" s="84">
        <v>0.008622902026160948</v>
      </c>
      <c r="T6" s="84">
        <v>0.050804190500203954</v>
      </c>
      <c r="U6" s="84">
        <v>0.3950904413359928</v>
      </c>
      <c r="V6" s="84">
        <v>0.002411926042678314</v>
      </c>
      <c r="W6" s="85">
        <v>1.006142240913987</v>
      </c>
      <c r="X6" s="85">
        <v>0.18461350103688243</v>
      </c>
      <c r="Y6" s="90">
        <v>1.6230272054672241</v>
      </c>
      <c r="Z6" s="85">
        <v>0.17153403116086635</v>
      </c>
      <c r="AA6" s="84" t="s">
        <v>158</v>
      </c>
      <c r="AB6" s="91" t="s">
        <v>159</v>
      </c>
      <c r="AC6" s="84">
        <v>0</v>
      </c>
      <c r="AD6" s="84">
        <v>0.07152783786170097</v>
      </c>
      <c r="AE6" s="84">
        <v>0.47840410737074</v>
      </c>
      <c r="AF6" s="84">
        <v>0.6381523267759671</v>
      </c>
      <c r="AG6" s="84">
        <v>0.1597482194052271</v>
      </c>
      <c r="AH6" s="85">
        <v>1.3339189963965548</v>
      </c>
      <c r="AI6" s="96" t="s">
        <v>160</v>
      </c>
      <c r="AJ6" s="96" t="s">
        <v>161</v>
      </c>
    </row>
    <row r="7" spans="1:36" ht="67.5">
      <c r="A7" s="88" t="s">
        <v>425</v>
      </c>
      <c r="B7" s="81" t="s">
        <v>446</v>
      </c>
      <c r="C7" s="81" t="s">
        <v>443</v>
      </c>
      <c r="D7" s="81" t="s">
        <v>156</v>
      </c>
      <c r="E7" s="82">
        <v>885.86</v>
      </c>
      <c r="F7" s="82">
        <v>15.008332737965063</v>
      </c>
      <c r="G7" s="82">
        <v>14.473712921142578</v>
      </c>
      <c r="H7" s="83">
        <v>18</v>
      </c>
      <c r="I7" s="83" t="s">
        <v>157</v>
      </c>
      <c r="J7" s="83">
        <v>1857.0468924881666</v>
      </c>
      <c r="K7" s="83">
        <v>1998.6467180403893</v>
      </c>
      <c r="L7" s="85">
        <v>0.3049604296684265</v>
      </c>
      <c r="M7" s="85">
        <v>0.44037061923384874</v>
      </c>
      <c r="N7" s="89">
        <v>0.4432313530104722</v>
      </c>
      <c r="O7" s="89">
        <v>0.08952004558760862</v>
      </c>
      <c r="P7" s="89">
        <v>0.007241756529805128</v>
      </c>
      <c r="Q7" s="89">
        <v>0.4432313530104722</v>
      </c>
      <c r="R7" s="84">
        <v>0.35795747703498254</v>
      </c>
      <c r="S7" s="84">
        <v>0.007880021524495231</v>
      </c>
      <c r="T7" s="84">
        <v>0.05282956989412336</v>
      </c>
      <c r="U7" s="84">
        <v>0.41830973848181685</v>
      </c>
      <c r="V7" s="84">
        <v>-0.024921614528655323</v>
      </c>
      <c r="W7" s="85">
        <v>0.9437728979247854</v>
      </c>
      <c r="X7" s="85">
        <v>0.18355363436305913</v>
      </c>
      <c r="Y7" s="90">
        <v>1.4296575784683228</v>
      </c>
      <c r="Z7" s="85">
        <v>0.17054925376358573</v>
      </c>
      <c r="AA7" s="84" t="s">
        <v>158</v>
      </c>
      <c r="AB7" s="91" t="s">
        <v>159</v>
      </c>
      <c r="AC7" s="84">
        <v>0</v>
      </c>
      <c r="AD7" s="84">
        <v>0.07152783786170097</v>
      </c>
      <c r="AE7" s="84">
        <v>0.5399931280612909</v>
      </c>
      <c r="AF7" s="84">
        <v>0.6603868472447766</v>
      </c>
      <c r="AG7" s="84">
        <v>0.12039371918348574</v>
      </c>
      <c r="AH7" s="85">
        <v>1.222954169094205</v>
      </c>
      <c r="AI7" s="96" t="s">
        <v>160</v>
      </c>
      <c r="AJ7" s="96" t="s">
        <v>161</v>
      </c>
    </row>
    <row r="8" spans="1:36" ht="67.5">
      <c r="A8" s="88" t="s">
        <v>419</v>
      </c>
      <c r="B8" s="81" t="s">
        <v>446</v>
      </c>
      <c r="C8" s="81" t="s">
        <v>442</v>
      </c>
      <c r="D8" s="81" t="s">
        <v>162</v>
      </c>
      <c r="E8" s="82">
        <v>885.86</v>
      </c>
      <c r="F8" s="82">
        <v>15.008332737965063</v>
      </c>
      <c r="G8" s="82">
        <v>14.473712921142578</v>
      </c>
      <c r="H8" s="83">
        <v>18</v>
      </c>
      <c r="I8" s="83" t="s">
        <v>157</v>
      </c>
      <c r="J8" s="83">
        <v>1727.1302704373247</v>
      </c>
      <c r="K8" s="83">
        <v>1858.8239535581708</v>
      </c>
      <c r="L8" s="85">
        <v>0.3042142689228058</v>
      </c>
      <c r="M8" s="85">
        <v>0.40856074666317804</v>
      </c>
      <c r="N8" s="89">
        <v>0.4765716986437892</v>
      </c>
      <c r="O8" s="89">
        <v>0.09625384102136858</v>
      </c>
      <c r="P8" s="89">
        <v>0.007786489351741416</v>
      </c>
      <c r="Q8" s="89">
        <v>0.4765716986437892</v>
      </c>
      <c r="R8" s="84">
        <v>0.3579001638026207</v>
      </c>
      <c r="S8" s="84">
        <v>0.007860740877916175</v>
      </c>
      <c r="T8" s="84">
        <v>0.05281955334641643</v>
      </c>
      <c r="U8" s="84">
        <v>0.41822400632555734</v>
      </c>
      <c r="V8" s="84">
        <v>-0.058347692318231836</v>
      </c>
      <c r="W8" s="85">
        <v>0.877567861280316</v>
      </c>
      <c r="X8" s="85">
        <v>0.18352611622163684</v>
      </c>
      <c r="Y8" s="90">
        <v>1.3294411897659302</v>
      </c>
      <c r="Z8" s="85">
        <v>0.17052368522335593</v>
      </c>
      <c r="AA8" s="84" t="s">
        <v>158</v>
      </c>
      <c r="AB8" s="91" t="s">
        <v>159</v>
      </c>
      <c r="AC8" s="84">
        <v>0</v>
      </c>
      <c r="AD8" s="84">
        <v>0.07152783786170096</v>
      </c>
      <c r="AE8" s="84">
        <v>0.5806119999143253</v>
      </c>
      <c r="AF8" s="84">
        <v>0.6602755119174287</v>
      </c>
      <c r="AG8" s="84">
        <v>0.0796635120031034</v>
      </c>
      <c r="AH8" s="85">
        <v>1.1372061066854604</v>
      </c>
      <c r="AI8" s="96" t="s">
        <v>160</v>
      </c>
      <c r="AJ8" s="96" t="s">
        <v>161</v>
      </c>
    </row>
    <row r="9" spans="1:36" ht="67.5">
      <c r="A9" s="88" t="s">
        <v>431</v>
      </c>
      <c r="B9" s="81" t="s">
        <v>446</v>
      </c>
      <c r="C9" s="81" t="s">
        <v>443</v>
      </c>
      <c r="D9" s="81" t="s">
        <v>381</v>
      </c>
      <c r="E9" s="82">
        <v>885.86</v>
      </c>
      <c r="F9" s="82">
        <v>15.008332737965063</v>
      </c>
      <c r="G9" s="82">
        <v>14.473712921142578</v>
      </c>
      <c r="H9" s="83">
        <v>18</v>
      </c>
      <c r="I9" s="83" t="s">
        <v>157</v>
      </c>
      <c r="J9" s="83">
        <v>1768.9868756531498</v>
      </c>
      <c r="K9" s="83">
        <v>1903.8721249217026</v>
      </c>
      <c r="L9" s="85">
        <v>0.3201413154602051</v>
      </c>
      <c r="M9" s="85">
        <v>0.44037061923384874</v>
      </c>
      <c r="N9" s="89">
        <v>0.46529537222118467</v>
      </c>
      <c r="O9" s="89">
        <v>0.09397634587452038</v>
      </c>
      <c r="P9" s="89">
        <v>0.007602250556474645</v>
      </c>
      <c r="Q9" s="89">
        <v>0.46529537222118467</v>
      </c>
      <c r="R9" s="84">
        <v>0.34254885533790114</v>
      </c>
      <c r="S9" s="84">
        <v>0.008272288328538723</v>
      </c>
      <c r="T9" s="84">
        <v>0.051375794216696885</v>
      </c>
      <c r="U9" s="84">
        <v>0.4018218225601883</v>
      </c>
      <c r="V9" s="84">
        <v>-0.06347354966099639</v>
      </c>
      <c r="W9" s="85">
        <v>0.8635843950951153</v>
      </c>
      <c r="X9" s="85">
        <v>0.18411327647996764</v>
      </c>
      <c r="Y9" s="90">
        <v>1.3660162687301636</v>
      </c>
      <c r="Z9" s="85">
        <v>0.17106924643899432</v>
      </c>
      <c r="AA9" s="84" t="s">
        <v>158</v>
      </c>
      <c r="AB9" s="91" t="s">
        <v>159</v>
      </c>
      <c r="AC9" s="84">
        <v>0</v>
      </c>
      <c r="AD9" s="84">
        <v>0.07152783786170096</v>
      </c>
      <c r="AE9" s="84">
        <v>0.5668739402382118</v>
      </c>
      <c r="AF9" s="84">
        <v>0.6444189288196122</v>
      </c>
      <c r="AG9" s="84">
        <v>0.07754498858140035</v>
      </c>
      <c r="AH9" s="85">
        <v>1.1367940613901115</v>
      </c>
      <c r="AI9" s="96" t="s">
        <v>160</v>
      </c>
      <c r="AJ9" s="96" t="s">
        <v>161</v>
      </c>
    </row>
    <row r="10" spans="1:36" ht="67.5">
      <c r="A10" s="88" t="s">
        <v>430</v>
      </c>
      <c r="B10" s="81" t="s">
        <v>446</v>
      </c>
      <c r="C10" s="81" t="s">
        <v>443</v>
      </c>
      <c r="D10" s="81" t="s">
        <v>380</v>
      </c>
      <c r="E10" s="82">
        <v>885.86</v>
      </c>
      <c r="F10" s="82">
        <v>15.008332737965063</v>
      </c>
      <c r="G10" s="82">
        <v>14.473712921142578</v>
      </c>
      <c r="H10" s="83">
        <v>18</v>
      </c>
      <c r="I10" s="83" t="s">
        <v>157</v>
      </c>
      <c r="J10" s="83">
        <v>1720.3595713602203</v>
      </c>
      <c r="K10" s="83">
        <v>1851.5369886764374</v>
      </c>
      <c r="L10" s="85">
        <v>0.32919037342071533</v>
      </c>
      <c r="M10" s="85">
        <v>0.44037061923384874</v>
      </c>
      <c r="N10" s="89">
        <v>0.4784473086115532</v>
      </c>
      <c r="O10" s="89">
        <v>0.09663266054457782</v>
      </c>
      <c r="P10" s="89">
        <v>0.00781713409435533</v>
      </c>
      <c r="Q10" s="89">
        <v>0.4784473086115532</v>
      </c>
      <c r="R10" s="84">
        <v>0.33750151974518194</v>
      </c>
      <c r="S10" s="84">
        <v>0.008506111006336628</v>
      </c>
      <c r="T10" s="84">
        <v>0.050922972199957096</v>
      </c>
      <c r="U10" s="84">
        <v>0.396544885216596</v>
      </c>
      <c r="V10" s="84">
        <v>-0.08190242339495724</v>
      </c>
      <c r="W10" s="85">
        <v>0.828816210435718</v>
      </c>
      <c r="X10" s="85">
        <v>0.18444687185677214</v>
      </c>
      <c r="Y10" s="90">
        <v>1.3308731317520142</v>
      </c>
      <c r="Z10" s="85">
        <v>0.17137920730013667</v>
      </c>
      <c r="AA10" s="84" t="s">
        <v>158</v>
      </c>
      <c r="AB10" s="91" t="s">
        <v>159</v>
      </c>
      <c r="AC10" s="84">
        <v>0</v>
      </c>
      <c r="AD10" s="84">
        <v>0.07152783786170096</v>
      </c>
      <c r="AE10" s="84">
        <v>0.5828970740333755</v>
      </c>
      <c r="AF10" s="84">
        <v>0.6394519144425341</v>
      </c>
      <c r="AG10" s="84">
        <v>0.05655484040915859</v>
      </c>
      <c r="AH10" s="85">
        <v>1.0970237164133034</v>
      </c>
      <c r="AI10" s="96" t="s">
        <v>160</v>
      </c>
      <c r="AJ10" s="96" t="s">
        <v>161</v>
      </c>
    </row>
    <row r="11" spans="1:36" ht="67.5">
      <c r="A11" s="88" t="s">
        <v>415</v>
      </c>
      <c r="B11" s="81" t="s">
        <v>446</v>
      </c>
      <c r="C11" s="81" t="s">
        <v>442</v>
      </c>
      <c r="D11" s="81" t="s">
        <v>163</v>
      </c>
      <c r="E11" s="82">
        <v>885.86</v>
      </c>
      <c r="F11" s="82">
        <v>15.008332737965063</v>
      </c>
      <c r="G11" s="82">
        <v>14.473712921142578</v>
      </c>
      <c r="H11" s="83">
        <v>18</v>
      </c>
      <c r="I11" s="83" t="s">
        <v>157</v>
      </c>
      <c r="J11" s="83">
        <v>1643.8482605977524</v>
      </c>
      <c r="K11" s="83">
        <v>1769.1916904683312</v>
      </c>
      <c r="L11" s="85">
        <v>0.3196266293525696</v>
      </c>
      <c r="M11" s="85">
        <v>0.40856074666317804</v>
      </c>
      <c r="N11" s="89">
        <v>0.5007161710060262</v>
      </c>
      <c r="O11" s="89">
        <v>0.10113033329086997</v>
      </c>
      <c r="P11" s="89">
        <v>0.008180974961119771</v>
      </c>
      <c r="Q11" s="89">
        <v>0.5007161710060262</v>
      </c>
      <c r="R11" s="84">
        <v>0.3422352347483079</v>
      </c>
      <c r="S11" s="84">
        <v>0.008258988279962208</v>
      </c>
      <c r="T11" s="84">
        <v>0.051341478003280025</v>
      </c>
      <c r="U11" s="84">
        <v>0.40146118993810254</v>
      </c>
      <c r="V11" s="84">
        <v>-0.09925498106792363</v>
      </c>
      <c r="W11" s="85">
        <v>0.8017739653414767</v>
      </c>
      <c r="X11" s="85">
        <v>0.18409428938564884</v>
      </c>
      <c r="Y11" s="90">
        <v>1.2692530155181885</v>
      </c>
      <c r="Z11" s="85">
        <v>0.1710516045395111</v>
      </c>
      <c r="AA11" s="84" t="s">
        <v>158</v>
      </c>
      <c r="AB11" s="91" t="s">
        <v>159</v>
      </c>
      <c r="AC11" s="84">
        <v>0</v>
      </c>
      <c r="AD11" s="84">
        <v>0.07152783786170096</v>
      </c>
      <c r="AE11" s="84">
        <v>0.6100274486810231</v>
      </c>
      <c r="AF11" s="84">
        <v>0.6440405980611621</v>
      </c>
      <c r="AG11" s="84">
        <v>0.034013149380138996</v>
      </c>
      <c r="AH11" s="85">
        <v>1.0557567523456213</v>
      </c>
      <c r="AI11" s="96" t="s">
        <v>160</v>
      </c>
      <c r="AJ11" s="96" t="s">
        <v>161</v>
      </c>
    </row>
    <row r="12" spans="1:36" ht="67.5">
      <c r="A12" s="88" t="s">
        <v>420</v>
      </c>
      <c r="B12" s="81" t="s">
        <v>446</v>
      </c>
      <c r="C12" s="81" t="s">
        <v>442</v>
      </c>
      <c r="D12" s="81" t="s">
        <v>379</v>
      </c>
      <c r="E12" s="82">
        <v>885.86</v>
      </c>
      <c r="F12" s="82">
        <v>15.008332737965063</v>
      </c>
      <c r="G12" s="82">
        <v>14.473712921142578</v>
      </c>
      <c r="H12" s="83">
        <v>18</v>
      </c>
      <c r="I12" s="83" t="s">
        <v>157</v>
      </c>
      <c r="J12" s="83">
        <v>1605.7565240003046</v>
      </c>
      <c r="K12" s="83">
        <v>1728.195458955328</v>
      </c>
      <c r="L12" s="85">
        <v>0.3272087872028351</v>
      </c>
      <c r="M12" s="85">
        <v>0.40856074666317804</v>
      </c>
      <c r="N12" s="89">
        <v>0.5125941538826136</v>
      </c>
      <c r="O12" s="89">
        <v>0.10352934581870399</v>
      </c>
      <c r="P12" s="89">
        <v>0.008375043948959195</v>
      </c>
      <c r="Q12" s="89">
        <v>0.5125941538826136</v>
      </c>
      <c r="R12" s="84">
        <v>0.33761370724685524</v>
      </c>
      <c r="S12" s="84">
        <v>0.008454907898795822</v>
      </c>
      <c r="T12" s="84">
        <v>0.05092282382729177</v>
      </c>
      <c r="U12" s="84">
        <v>0.3966080415245931</v>
      </c>
      <c r="V12" s="84">
        <v>-0.11598611235802053</v>
      </c>
      <c r="W12" s="85">
        <v>0.7737272041058395</v>
      </c>
      <c r="X12" s="85">
        <v>0.18437380998747935</v>
      </c>
      <c r="Y12" s="90">
        <v>1.2417240142822266</v>
      </c>
      <c r="Z12" s="85">
        <v>0.17131132170729788</v>
      </c>
      <c r="AA12" s="84" t="s">
        <v>158</v>
      </c>
      <c r="AB12" s="91" t="s">
        <v>159</v>
      </c>
      <c r="AC12" s="84">
        <v>0</v>
      </c>
      <c r="AD12" s="84">
        <v>0.07152783786170096</v>
      </c>
      <c r="AE12" s="84">
        <v>0.624498512347937</v>
      </c>
      <c r="AF12" s="84">
        <v>0.6394471851856967</v>
      </c>
      <c r="AG12" s="84">
        <v>0.014948672837759691</v>
      </c>
      <c r="AH12" s="85">
        <v>1.0239370831830439</v>
      </c>
      <c r="AI12" s="96" t="s">
        <v>160</v>
      </c>
      <c r="AJ12" s="96" t="s">
        <v>161</v>
      </c>
    </row>
    <row r="13" spans="1:36" ht="67.5">
      <c r="A13" s="88" t="s">
        <v>428</v>
      </c>
      <c r="B13" s="81" t="s">
        <v>446</v>
      </c>
      <c r="C13" s="81" t="s">
        <v>443</v>
      </c>
      <c r="D13" s="81" t="s">
        <v>162</v>
      </c>
      <c r="E13" s="82">
        <v>885.86</v>
      </c>
      <c r="F13" s="82">
        <v>15.008332737965063</v>
      </c>
      <c r="G13" s="82">
        <v>14.473712921142578</v>
      </c>
      <c r="H13" s="83">
        <v>18</v>
      </c>
      <c r="I13" s="83" t="s">
        <v>157</v>
      </c>
      <c r="J13" s="83">
        <v>1446.0282290934133</v>
      </c>
      <c r="K13" s="83">
        <v>1556.287881561786</v>
      </c>
      <c r="L13" s="85">
        <v>0.29073721170425415</v>
      </c>
      <c r="M13" s="85">
        <v>0.32691086098005645</v>
      </c>
      <c r="N13" s="89">
        <v>0.5692153100478999</v>
      </c>
      <c r="O13" s="89">
        <v>0.11496519855500575</v>
      </c>
      <c r="P13" s="89">
        <v>0.009300151400406544</v>
      </c>
      <c r="Q13" s="89">
        <v>0.5692153100478999</v>
      </c>
      <c r="R13" s="84">
        <v>0.3656566748418887</v>
      </c>
      <c r="S13" s="84">
        <v>0.007512500312984345</v>
      </c>
      <c r="T13" s="84">
        <v>0.05351789125408164</v>
      </c>
      <c r="U13" s="84">
        <v>0.4263464042095376</v>
      </c>
      <c r="V13" s="84">
        <v>-0.14286890583836231</v>
      </c>
      <c r="W13" s="85">
        <v>0.7490072678713793</v>
      </c>
      <c r="X13" s="85">
        <v>0.18302927391127335</v>
      </c>
      <c r="Y13" s="90">
        <v>1.1100525856018066</v>
      </c>
      <c r="Z13" s="85">
        <v>0.17006204312313436</v>
      </c>
      <c r="AA13" s="84" t="s">
        <v>158</v>
      </c>
      <c r="AB13" s="91" t="s">
        <v>159</v>
      </c>
      <c r="AC13" s="84">
        <v>0</v>
      </c>
      <c r="AD13" s="84">
        <v>0.07152783786170097</v>
      </c>
      <c r="AE13" s="84">
        <v>0.6934806252433157</v>
      </c>
      <c r="AF13" s="84">
        <v>0.667936254563416</v>
      </c>
      <c r="AG13" s="84">
        <v>-0.025544370679899675</v>
      </c>
      <c r="AH13" s="85">
        <v>0.9631649829136364</v>
      </c>
      <c r="AI13" s="96" t="s">
        <v>160</v>
      </c>
      <c r="AJ13" s="96" t="s">
        <v>161</v>
      </c>
    </row>
    <row r="14" spans="1:36" ht="67.5">
      <c r="A14" s="88" t="s">
        <v>434</v>
      </c>
      <c r="B14" s="81" t="s">
        <v>446</v>
      </c>
      <c r="C14" s="81" t="s">
        <v>444</v>
      </c>
      <c r="D14" s="81" t="s">
        <v>156</v>
      </c>
      <c r="E14" s="82">
        <v>885.86</v>
      </c>
      <c r="F14" s="82">
        <v>15.008332737965063</v>
      </c>
      <c r="G14" s="82">
        <v>14.473712921142578</v>
      </c>
      <c r="H14" s="83">
        <v>18</v>
      </c>
      <c r="I14" s="83" t="s">
        <v>157</v>
      </c>
      <c r="J14" s="83">
        <v>1423.6015820504258</v>
      </c>
      <c r="K14" s="83">
        <v>1532.1512026817707</v>
      </c>
      <c r="L14" s="85">
        <v>0.2879270613193512</v>
      </c>
      <c r="M14" s="85">
        <v>0.3187299830138267</v>
      </c>
      <c r="N14" s="89">
        <v>0.5781824192523746</v>
      </c>
      <c r="O14" s="89">
        <v>0.11677629792629654</v>
      </c>
      <c r="P14" s="89">
        <v>0.00944666094038813</v>
      </c>
      <c r="Q14" s="89">
        <v>0.5781824192523746</v>
      </c>
      <c r="R14" s="84">
        <v>0.36773357857390726</v>
      </c>
      <c r="S14" s="84">
        <v>0.007439888130163446</v>
      </c>
      <c r="T14" s="84">
        <v>0.05370946123395886</v>
      </c>
      <c r="U14" s="84">
        <v>0.4285455605318164</v>
      </c>
      <c r="V14" s="84">
        <v>-0.14963685872055815</v>
      </c>
      <c r="W14" s="85">
        <v>0.7411943813268349</v>
      </c>
      <c r="X14" s="85">
        <v>0.18292570994691465</v>
      </c>
      <c r="Y14" s="90">
        <v>1.092218041419983</v>
      </c>
      <c r="Z14" s="85">
        <v>0.16996581644312628</v>
      </c>
      <c r="AA14" s="84" t="s">
        <v>158</v>
      </c>
      <c r="AB14" s="91" t="s">
        <v>159</v>
      </c>
      <c r="AC14" s="84">
        <v>0</v>
      </c>
      <c r="AD14" s="84">
        <v>0.07152783786170097</v>
      </c>
      <c r="AE14" s="84">
        <v>0.7044053428114725</v>
      </c>
      <c r="AF14" s="84">
        <v>0.6700392484976652</v>
      </c>
      <c r="AG14" s="84">
        <v>-0.03436609431380733</v>
      </c>
      <c r="AH14" s="85">
        <v>0.951212615485506</v>
      </c>
      <c r="AI14" s="96" t="s">
        <v>160</v>
      </c>
      <c r="AJ14" s="96" t="s">
        <v>161</v>
      </c>
    </row>
    <row r="15" spans="1:36" ht="67.5">
      <c r="A15" s="88" t="s">
        <v>418</v>
      </c>
      <c r="B15" s="81" t="s">
        <v>446</v>
      </c>
      <c r="C15" s="81" t="s">
        <v>442</v>
      </c>
      <c r="D15" s="81" t="s">
        <v>164</v>
      </c>
      <c r="E15" s="82">
        <v>885.86</v>
      </c>
      <c r="F15" s="82">
        <v>15.008332737965063</v>
      </c>
      <c r="G15" s="82">
        <v>14.473712921142578</v>
      </c>
      <c r="H15" s="83">
        <v>18</v>
      </c>
      <c r="I15" s="83" t="s">
        <v>157</v>
      </c>
      <c r="J15" s="83">
        <v>1325.8614199090298</v>
      </c>
      <c r="K15" s="83">
        <v>1426.9583531770934</v>
      </c>
      <c r="L15" s="85">
        <v>0.2888440787792206</v>
      </c>
      <c r="M15" s="85">
        <v>0.2977923781426682</v>
      </c>
      <c r="N15" s="89">
        <v>0.6208050060148048</v>
      </c>
      <c r="O15" s="89">
        <v>0.12538484035931438</v>
      </c>
      <c r="P15" s="89">
        <v>0.01014305210023625</v>
      </c>
      <c r="Q15" s="89">
        <v>0.6208050060148048</v>
      </c>
      <c r="R15" s="84">
        <v>0.36899135696840957</v>
      </c>
      <c r="S15" s="84">
        <v>0.007463583470819461</v>
      </c>
      <c r="T15" s="84">
        <v>0.05384050301574802</v>
      </c>
      <c r="U15" s="84">
        <v>0.4299569990322808</v>
      </c>
      <c r="V15" s="84">
        <v>-0.19084800698252402</v>
      </c>
      <c r="W15" s="85">
        <v>0.6925797873189625</v>
      </c>
      <c r="X15" s="85">
        <v>0.1829595279337952</v>
      </c>
      <c r="Y15" s="90">
        <v>1.0174176692962646</v>
      </c>
      <c r="Z15" s="85">
        <v>0.1699972384982998</v>
      </c>
      <c r="AA15" s="84" t="s">
        <v>158</v>
      </c>
      <c r="AB15" s="91" t="s">
        <v>159</v>
      </c>
      <c r="AC15" s="84">
        <v>0</v>
      </c>
      <c r="AD15" s="84">
        <v>0.07152783786170097</v>
      </c>
      <c r="AE15" s="84">
        <v>0.7563328605639558</v>
      </c>
      <c r="AF15" s="84">
        <v>0.6714820644797429</v>
      </c>
      <c r="AG15" s="84">
        <v>-0.08485079608421287</v>
      </c>
      <c r="AH15" s="85">
        <v>0.8878128923012226</v>
      </c>
      <c r="AI15" s="96" t="s">
        <v>160</v>
      </c>
      <c r="AJ15" s="96" t="s">
        <v>161</v>
      </c>
    </row>
    <row r="16" spans="1:36" ht="67.5">
      <c r="A16" s="88" t="s">
        <v>424</v>
      </c>
      <c r="B16" s="81" t="s">
        <v>446</v>
      </c>
      <c r="C16" s="81" t="s">
        <v>443</v>
      </c>
      <c r="D16" s="81" t="s">
        <v>163</v>
      </c>
      <c r="E16" s="82">
        <v>885.86</v>
      </c>
      <c r="F16" s="82">
        <v>15.008332737965063</v>
      </c>
      <c r="G16" s="82">
        <v>14.473712921142578</v>
      </c>
      <c r="H16" s="83">
        <v>18</v>
      </c>
      <c r="I16" s="83" t="s">
        <v>157</v>
      </c>
      <c r="J16" s="83">
        <v>1357.9682122583965</v>
      </c>
      <c r="K16" s="83">
        <v>1461.513288443099</v>
      </c>
      <c r="L16" s="85">
        <v>0.309590607881546</v>
      </c>
      <c r="M16" s="85">
        <v>0.32691086098005645</v>
      </c>
      <c r="N16" s="89">
        <v>0.6061271532951037</v>
      </c>
      <c r="O16" s="89">
        <v>0.12242033427085451</v>
      </c>
      <c r="P16" s="89">
        <v>0.009903237305875568</v>
      </c>
      <c r="Q16" s="89">
        <v>0.6061271532951037</v>
      </c>
      <c r="R16" s="84">
        <v>0.3460835671464256</v>
      </c>
      <c r="S16" s="84">
        <v>0.007999662602986896</v>
      </c>
      <c r="T16" s="84">
        <v>0.051668739417220215</v>
      </c>
      <c r="U16" s="84">
        <v>0.40538921412507806</v>
      </c>
      <c r="V16" s="84">
        <v>-0.20073793917002564</v>
      </c>
      <c r="W16" s="85">
        <v>0.6688187650417092</v>
      </c>
      <c r="X16" s="85">
        <v>0.1837243007617858</v>
      </c>
      <c r="Y16" s="90">
        <v>1.0464112758636475</v>
      </c>
      <c r="Z16" s="85">
        <v>0.17070782881466745</v>
      </c>
      <c r="AA16" s="84" t="s">
        <v>158</v>
      </c>
      <c r="AB16" s="91" t="s">
        <v>159</v>
      </c>
      <c r="AC16" s="84">
        <v>0</v>
      </c>
      <c r="AD16" s="84">
        <v>0.07152783786170097</v>
      </c>
      <c r="AE16" s="84">
        <v>0.7384506878577595</v>
      </c>
      <c r="AF16" s="84">
        <v>0.6476248951147112</v>
      </c>
      <c r="AG16" s="84">
        <v>-0.09082579274304825</v>
      </c>
      <c r="AH16" s="85">
        <v>0.8770049317625619</v>
      </c>
      <c r="AI16" s="96" t="s">
        <v>160</v>
      </c>
      <c r="AJ16" s="96" t="s">
        <v>161</v>
      </c>
    </row>
    <row r="17" spans="1:36" ht="67.5">
      <c r="A17" s="88" t="s">
        <v>440</v>
      </c>
      <c r="B17" s="81" t="s">
        <v>446</v>
      </c>
      <c r="C17" s="81" t="s">
        <v>444</v>
      </c>
      <c r="D17" s="81" t="s">
        <v>381</v>
      </c>
      <c r="E17" s="82">
        <v>885.86</v>
      </c>
      <c r="F17" s="82">
        <v>15.008332737965063</v>
      </c>
      <c r="G17" s="82">
        <v>14.473712921142578</v>
      </c>
      <c r="H17" s="83">
        <v>18</v>
      </c>
      <c r="I17" s="83" t="s">
        <v>157</v>
      </c>
      <c r="J17" s="83">
        <v>1339.9985941457276</v>
      </c>
      <c r="K17" s="83">
        <v>1442.1734869493391</v>
      </c>
      <c r="L17" s="85">
        <v>0.3058909475803375</v>
      </c>
      <c r="M17" s="85">
        <v>0.3187299830138267</v>
      </c>
      <c r="N17" s="89">
        <v>0.6142554256082369</v>
      </c>
      <c r="O17" s="89">
        <v>0.12406201260222245</v>
      </c>
      <c r="P17" s="89">
        <v>0.010036041469434539</v>
      </c>
      <c r="Q17" s="89">
        <v>0.6142554256082369</v>
      </c>
      <c r="R17" s="84">
        <v>0.3479904595045203</v>
      </c>
      <c r="S17" s="84">
        <v>0.007904065391300721</v>
      </c>
      <c r="T17" s="84">
        <v>0.051838208098801956</v>
      </c>
      <c r="U17" s="84">
        <v>0.40737431314853745</v>
      </c>
      <c r="V17" s="84">
        <v>-0.20688111245969942</v>
      </c>
      <c r="W17" s="85">
        <v>0.6632001870315669</v>
      </c>
      <c r="X17" s="85">
        <v>0.1835879529663143</v>
      </c>
      <c r="Y17" s="90">
        <v>1.0317978858947754</v>
      </c>
      <c r="Z17" s="85">
        <v>0.17058114096753946</v>
      </c>
      <c r="AA17" s="84" t="s">
        <v>158</v>
      </c>
      <c r="AB17" s="91" t="s">
        <v>159</v>
      </c>
      <c r="AC17" s="84">
        <v>0</v>
      </c>
      <c r="AD17" s="84">
        <v>0.07152783786170096</v>
      </c>
      <c r="AE17" s="84">
        <v>0.7483534421694543</v>
      </c>
      <c r="AF17" s="84">
        <v>0.6494833048972601</v>
      </c>
      <c r="AG17" s="84">
        <v>-0.09887013727219418</v>
      </c>
      <c r="AH17" s="85">
        <v>0.867883099480945</v>
      </c>
      <c r="AI17" s="96" t="s">
        <v>160</v>
      </c>
      <c r="AJ17" s="96" t="s">
        <v>161</v>
      </c>
    </row>
    <row r="18" spans="1:36" ht="67.5">
      <c r="A18" s="88" t="s">
        <v>429</v>
      </c>
      <c r="B18" s="81" t="s">
        <v>446</v>
      </c>
      <c r="C18" s="81" t="s">
        <v>443</v>
      </c>
      <c r="D18" s="81" t="s">
        <v>379</v>
      </c>
      <c r="E18" s="82">
        <v>885.86</v>
      </c>
      <c r="F18" s="82">
        <v>15.008332737965063</v>
      </c>
      <c r="G18" s="82">
        <v>14.473712921142578</v>
      </c>
      <c r="H18" s="83">
        <v>18</v>
      </c>
      <c r="I18" s="83" t="s">
        <v>157</v>
      </c>
      <c r="J18" s="83">
        <v>1309.340907965467</v>
      </c>
      <c r="K18" s="83">
        <v>1409.178152197834</v>
      </c>
      <c r="L18" s="85">
        <v>0.32108843326568604</v>
      </c>
      <c r="M18" s="85">
        <v>0.32691086098005645</v>
      </c>
      <c r="N18" s="89">
        <v>0.6286379672047424</v>
      </c>
      <c r="O18" s="89">
        <v>0.12696687429722628</v>
      </c>
      <c r="P18" s="89">
        <v>0.010271031308971515</v>
      </c>
      <c r="Q18" s="89">
        <v>0.6286379672047424</v>
      </c>
      <c r="R18" s="84">
        <v>0.3395830839351234</v>
      </c>
      <c r="S18" s="84">
        <v>0.008296760192521974</v>
      </c>
      <c r="T18" s="84">
        <v>0.0510846504679165</v>
      </c>
      <c r="U18" s="84">
        <v>0.3985882679565236</v>
      </c>
      <c r="V18" s="84">
        <v>-0.23004969924821883</v>
      </c>
      <c r="W18" s="85">
        <v>0.6340505803823118</v>
      </c>
      <c r="X18" s="85">
        <v>0.18414816986681434</v>
      </c>
      <c r="Y18" s="90">
        <v>1.011268138885498</v>
      </c>
      <c r="Z18" s="85">
        <v>0.1711016677043571</v>
      </c>
      <c r="AA18" s="84" t="s">
        <v>158</v>
      </c>
      <c r="AB18" s="91" t="s">
        <v>159</v>
      </c>
      <c r="AC18" s="84">
        <v>0</v>
      </c>
      <c r="AD18" s="84">
        <v>0.07152783786170097</v>
      </c>
      <c r="AE18" s="84">
        <v>0.7658758344222089</v>
      </c>
      <c r="AF18" s="84">
        <v>0.6412177810742629</v>
      </c>
      <c r="AG18" s="84">
        <v>-0.124658053347946</v>
      </c>
      <c r="AH18" s="85">
        <v>0.8372346433387725</v>
      </c>
      <c r="AI18" s="96" t="s">
        <v>160</v>
      </c>
      <c r="AJ18" s="96" t="s">
        <v>161</v>
      </c>
    </row>
    <row r="19" spans="1:36" ht="67.5">
      <c r="A19" s="88" t="s">
        <v>439</v>
      </c>
      <c r="B19" s="81" t="s">
        <v>446</v>
      </c>
      <c r="C19" s="81" t="s">
        <v>444</v>
      </c>
      <c r="D19" s="81" t="s">
        <v>380</v>
      </c>
      <c r="E19" s="82">
        <v>885.86</v>
      </c>
      <c r="F19" s="82">
        <v>15.008332737965063</v>
      </c>
      <c r="G19" s="82">
        <v>14.473712921142578</v>
      </c>
      <c r="H19" s="83">
        <v>18</v>
      </c>
      <c r="I19" s="83" t="s">
        <v>157</v>
      </c>
      <c r="J19" s="83">
        <v>1301.0287675764985</v>
      </c>
      <c r="K19" s="83">
        <v>1400.2322111042065</v>
      </c>
      <c r="L19" s="85">
        <v>0.3150533139705658</v>
      </c>
      <c r="M19" s="85">
        <v>0.3187299830138267</v>
      </c>
      <c r="N19" s="89">
        <v>0.6326542712000608</v>
      </c>
      <c r="O19" s="89">
        <v>0.1277780527355578</v>
      </c>
      <c r="P19" s="89">
        <v>0.010336651882710783</v>
      </c>
      <c r="Q19" s="89">
        <v>0.6326542712000608</v>
      </c>
      <c r="R19" s="84">
        <v>0.3420278914502999</v>
      </c>
      <c r="S19" s="84">
        <v>0.008140816541749609</v>
      </c>
      <c r="T19" s="84">
        <v>0.05129451087456044</v>
      </c>
      <c r="U19" s="84">
        <v>0.40109406528329794</v>
      </c>
      <c r="V19" s="84">
        <v>-0.23156020591676285</v>
      </c>
      <c r="W19" s="85">
        <v>0.633986180987091</v>
      </c>
      <c r="X19" s="85">
        <v>0.1839257165398225</v>
      </c>
      <c r="Y19" s="90">
        <v>1.0036343336105347</v>
      </c>
      <c r="Z19" s="85">
        <v>0.17089497471760512</v>
      </c>
      <c r="AA19" s="84" t="s">
        <v>158</v>
      </c>
      <c r="AB19" s="91" t="s">
        <v>159</v>
      </c>
      <c r="AC19" s="84">
        <v>0</v>
      </c>
      <c r="AD19" s="84">
        <v>0.07152783786170097</v>
      </c>
      <c r="AE19" s="84">
        <v>0.7707689371843364</v>
      </c>
      <c r="AF19" s="84">
        <v>0.6435168766553768</v>
      </c>
      <c r="AG19" s="84">
        <v>-0.12725206052895954</v>
      </c>
      <c r="AH19" s="85">
        <v>0.8349024533943743</v>
      </c>
      <c r="AI19" s="96" t="s">
        <v>160</v>
      </c>
      <c r="AJ19" s="96" t="s">
        <v>161</v>
      </c>
    </row>
    <row r="20" spans="1:36" ht="67.5">
      <c r="A20" s="88" t="s">
        <v>417</v>
      </c>
      <c r="B20" s="81" t="s">
        <v>446</v>
      </c>
      <c r="C20" s="81" t="s">
        <v>442</v>
      </c>
      <c r="D20" s="81" t="s">
        <v>165</v>
      </c>
      <c r="E20" s="82">
        <v>885.86</v>
      </c>
      <c r="F20" s="82">
        <v>15.008332737965063</v>
      </c>
      <c r="G20" s="82">
        <v>14.473712921142578</v>
      </c>
      <c r="H20" s="83">
        <v>18</v>
      </c>
      <c r="I20" s="83" t="s">
        <v>157</v>
      </c>
      <c r="J20" s="83">
        <v>1242.5794100694575</v>
      </c>
      <c r="K20" s="83">
        <v>1337.3260900872538</v>
      </c>
      <c r="L20" s="85">
        <v>0.30820342898368835</v>
      </c>
      <c r="M20" s="85">
        <v>0.2977923781426682</v>
      </c>
      <c r="N20" s="89">
        <v>0.6624135247142179</v>
      </c>
      <c r="O20" s="89">
        <v>0.1337885700718113</v>
      </c>
      <c r="P20" s="89">
        <v>0.01082287486083386</v>
      </c>
      <c r="Q20" s="89">
        <v>0.6624135247142179</v>
      </c>
      <c r="R20" s="84">
        <v>0.34901108905252176</v>
      </c>
      <c r="S20" s="84">
        <v>0.007963818889995214</v>
      </c>
      <c r="T20" s="84">
        <v>0.05195353722310772</v>
      </c>
      <c r="U20" s="84">
        <v>0.4085673163031082</v>
      </c>
      <c r="V20" s="84">
        <v>-0.25384620841110966</v>
      </c>
      <c r="W20" s="85">
        <v>0.6167858913801233</v>
      </c>
      <c r="X20" s="85">
        <v>0.18367320775886722</v>
      </c>
      <c r="Y20" s="90">
        <v>0.9572295546531677</v>
      </c>
      <c r="Z20" s="85">
        <v>0.17066035564122387</v>
      </c>
      <c r="AA20" s="84" t="s">
        <v>158</v>
      </c>
      <c r="AB20" s="91" t="s">
        <v>159</v>
      </c>
      <c r="AC20" s="84">
        <v>0</v>
      </c>
      <c r="AD20" s="84">
        <v>0.07152783786170097</v>
      </c>
      <c r="AE20" s="84">
        <v>0.807024929195576</v>
      </c>
      <c r="AF20" s="84">
        <v>0.6507555227688758</v>
      </c>
      <c r="AG20" s="84">
        <v>-0.15626940642670017</v>
      </c>
      <c r="AH20" s="85">
        <v>0.8063635945144025</v>
      </c>
      <c r="AI20" s="96" t="s">
        <v>160</v>
      </c>
      <c r="AJ20" s="96" t="s">
        <v>161</v>
      </c>
    </row>
    <row r="21" spans="1:36" ht="67.5">
      <c r="A21" s="88" t="s">
        <v>414</v>
      </c>
      <c r="B21" s="81" t="s">
        <v>446</v>
      </c>
      <c r="C21" s="81" t="s">
        <v>442</v>
      </c>
      <c r="D21" s="81" t="s">
        <v>166</v>
      </c>
      <c r="E21" s="82">
        <v>885.86</v>
      </c>
      <c r="F21" s="82">
        <v>15.008332737965063</v>
      </c>
      <c r="G21" s="82">
        <v>14.473712921142578</v>
      </c>
      <c r="H21" s="83">
        <v>18</v>
      </c>
      <c r="I21" s="83" t="s">
        <v>157</v>
      </c>
      <c r="J21" s="83">
        <v>1204.4876734720096</v>
      </c>
      <c r="K21" s="83">
        <v>1296.3298585742505</v>
      </c>
      <c r="L21" s="85">
        <v>0.3179503083229065</v>
      </c>
      <c r="M21" s="85">
        <v>0.2977923781426682</v>
      </c>
      <c r="N21" s="89">
        <v>0.6833622500998973</v>
      </c>
      <c r="O21" s="89">
        <v>0.13801961293191334</v>
      </c>
      <c r="P21" s="89">
        <v>0.011165146606328485</v>
      </c>
      <c r="Q21" s="89">
        <v>0.6833622500998973</v>
      </c>
      <c r="R21" s="84">
        <v>0.34306420886712474</v>
      </c>
      <c r="S21" s="84">
        <v>0.008215673432095288</v>
      </c>
      <c r="T21" s="84">
        <v>0.051414760962486414</v>
      </c>
      <c r="U21" s="84">
        <v>0.4023220966973924</v>
      </c>
      <c r="V21" s="84">
        <v>-0.2810401534025049</v>
      </c>
      <c r="W21" s="85">
        <v>0.5887391301444863</v>
      </c>
      <c r="X21" s="85">
        <v>0.18403253256484126</v>
      </c>
      <c r="Y21" s="90">
        <v>0.929700493812561</v>
      </c>
      <c r="Z21" s="85">
        <v>0.17099422305676307</v>
      </c>
      <c r="AA21" s="84" t="s">
        <v>158</v>
      </c>
      <c r="AB21" s="91" t="s">
        <v>159</v>
      </c>
      <c r="AC21" s="84">
        <v>0</v>
      </c>
      <c r="AD21" s="84">
        <v>0.07152783786170099</v>
      </c>
      <c r="AE21" s="84">
        <v>0.8325469679075864</v>
      </c>
      <c r="AF21" s="84">
        <v>0.6448441494798574</v>
      </c>
      <c r="AG21" s="84">
        <v>-0.18770281842772907</v>
      </c>
      <c r="AH21" s="85">
        <v>0.774543868798806</v>
      </c>
      <c r="AI21" s="96" t="s">
        <v>160</v>
      </c>
      <c r="AJ21" s="96" t="s">
        <v>161</v>
      </c>
    </row>
    <row r="22" spans="1:36" ht="67.5">
      <c r="A22" s="88" t="s">
        <v>437</v>
      </c>
      <c r="B22" s="81" t="s">
        <v>446</v>
      </c>
      <c r="C22" s="81" t="s">
        <v>444</v>
      </c>
      <c r="D22" s="81" t="s">
        <v>162</v>
      </c>
      <c r="E22" s="82">
        <v>885.86</v>
      </c>
      <c r="F22" s="82">
        <v>15.008332737965063</v>
      </c>
      <c r="G22" s="82">
        <v>14.473712921142578</v>
      </c>
      <c r="H22" s="83">
        <v>18</v>
      </c>
      <c r="I22" s="83" t="s">
        <v>157</v>
      </c>
      <c r="J22" s="83">
        <v>1116.7579150595207</v>
      </c>
      <c r="K22" s="83">
        <v>1201.9107060828092</v>
      </c>
      <c r="L22" s="85">
        <v>0.26949790120124817</v>
      </c>
      <c r="M22" s="85">
        <v>0.2340272398562526</v>
      </c>
      <c r="N22" s="89">
        <v>0.737045509740178</v>
      </c>
      <c r="O22" s="89">
        <v>0.1488620946689303</v>
      </c>
      <c r="P22" s="89">
        <v>0.012042253095751498</v>
      </c>
      <c r="Q22" s="89">
        <v>0.737045509740178</v>
      </c>
      <c r="R22" s="84">
        <v>0.37788061738672213</v>
      </c>
      <c r="S22" s="84">
        <v>0.006963687823931571</v>
      </c>
      <c r="T22" s="84">
        <v>0.05461844351012181</v>
      </c>
      <c r="U22" s="84">
        <v>0.439146973035726</v>
      </c>
      <c r="V22" s="84">
        <v>-0.29789853670445204</v>
      </c>
      <c r="W22" s="85">
        <v>0.595820702022231</v>
      </c>
      <c r="X22" s="85">
        <v>0.18224632363874052</v>
      </c>
      <c r="Y22" s="90">
        <v>0.8536188006401062</v>
      </c>
      <c r="Z22" s="85">
        <v>0.16933456319511314</v>
      </c>
      <c r="AA22" s="84" t="s">
        <v>158</v>
      </c>
      <c r="AB22" s="91" t="s">
        <v>159</v>
      </c>
      <c r="AC22" s="84">
        <v>0</v>
      </c>
      <c r="AD22" s="84">
        <v>0.07152783786170099</v>
      </c>
      <c r="AE22" s="84">
        <v>0.8979498124960574</v>
      </c>
      <c r="AF22" s="84">
        <v>0.6800093740230724</v>
      </c>
      <c r="AG22" s="84">
        <v>-0.21794043847298505</v>
      </c>
      <c r="AH22" s="85">
        <v>0.7572910696788614</v>
      </c>
      <c r="AI22" s="96" t="s">
        <v>160</v>
      </c>
      <c r="AJ22" s="96" t="s">
        <v>161</v>
      </c>
    </row>
    <row r="23" spans="1:36" ht="67.5">
      <c r="A23" s="88" t="s">
        <v>427</v>
      </c>
      <c r="B23" s="81" t="s">
        <v>446</v>
      </c>
      <c r="C23" s="81" t="s">
        <v>443</v>
      </c>
      <c r="D23" s="81" t="s">
        <v>164</v>
      </c>
      <c r="E23" s="82">
        <v>885.86</v>
      </c>
      <c r="F23" s="82">
        <v>15.008332737965063</v>
      </c>
      <c r="G23" s="82">
        <v>14.473712921142578</v>
      </c>
      <c r="H23" s="83">
        <v>18</v>
      </c>
      <c r="I23" s="83" t="s">
        <v>157</v>
      </c>
      <c r="J23" s="83">
        <v>1083.367435698377</v>
      </c>
      <c r="K23" s="83">
        <v>1165.9742026703784</v>
      </c>
      <c r="L23" s="85">
        <v>0.26922503113746643</v>
      </c>
      <c r="M23" s="85">
        <v>0.22680006404719258</v>
      </c>
      <c r="N23" s="89">
        <v>0.7597619973050256</v>
      </c>
      <c r="O23" s="89">
        <v>0.1534501748861424</v>
      </c>
      <c r="P23" s="89">
        <v>0.012413407507639605</v>
      </c>
      <c r="Q23" s="89">
        <v>0.7597619973050256</v>
      </c>
      <c r="R23" s="84">
        <v>0.3801303033105321</v>
      </c>
      <c r="S23" s="84">
        <v>0.006956637155326735</v>
      </c>
      <c r="T23" s="84">
        <v>0.05484184760560193</v>
      </c>
      <c r="U23" s="84">
        <v>0.4416133315888752</v>
      </c>
      <c r="V23" s="84">
        <v>-0.31814866571615036</v>
      </c>
      <c r="W23" s="85">
        <v>0.5812521989193129</v>
      </c>
      <c r="X23" s="85">
        <v>0.18223626306484178</v>
      </c>
      <c r="Y23" s="90">
        <v>0.8280503749847412</v>
      </c>
      <c r="Z23" s="85">
        <v>0.1693252153912583</v>
      </c>
      <c r="AA23" s="84" t="s">
        <v>158</v>
      </c>
      <c r="AB23" s="91" t="s">
        <v>159</v>
      </c>
      <c r="AC23" s="84">
        <v>0</v>
      </c>
      <c r="AD23" s="84">
        <v>0.07152783786170096</v>
      </c>
      <c r="AE23" s="84">
        <v>0.9256255333027884</v>
      </c>
      <c r="AF23" s="84">
        <v>0.6824664031094343</v>
      </c>
      <c r="AG23" s="84">
        <v>-0.2431591301933541</v>
      </c>
      <c r="AH23" s="85">
        <v>0.7373029141431295</v>
      </c>
      <c r="AI23" s="96" t="s">
        <v>160</v>
      </c>
      <c r="AJ23" s="96" t="s">
        <v>161</v>
      </c>
    </row>
    <row r="24" spans="1:36" ht="67.5">
      <c r="A24" s="88" t="s">
        <v>433</v>
      </c>
      <c r="B24" s="81" t="s">
        <v>446</v>
      </c>
      <c r="C24" s="81" t="s">
        <v>444</v>
      </c>
      <c r="D24" s="81" t="s">
        <v>163</v>
      </c>
      <c r="E24" s="82">
        <v>885.86</v>
      </c>
      <c r="F24" s="82">
        <v>15.008332737965063</v>
      </c>
      <c r="G24" s="82">
        <v>14.473712921142578</v>
      </c>
      <c r="H24" s="83">
        <v>18</v>
      </c>
      <c r="I24" s="83" t="s">
        <v>157</v>
      </c>
      <c r="J24" s="83">
        <v>1033.1549271548224</v>
      </c>
      <c r="K24" s="83">
        <v>1111.9329903503776</v>
      </c>
      <c r="L24" s="85">
        <v>0.2913057208061218</v>
      </c>
      <c r="M24" s="85">
        <v>0.2340272398562526</v>
      </c>
      <c r="N24" s="89">
        <v>0.7966872974493184</v>
      </c>
      <c r="O24" s="89">
        <v>0.1609080285099927</v>
      </c>
      <c r="P24" s="89">
        <v>0.013016713279261382</v>
      </c>
      <c r="Q24" s="89">
        <v>0.7966872974493184</v>
      </c>
      <c r="R24" s="84">
        <v>0.35309495517784745</v>
      </c>
      <c r="S24" s="84">
        <v>0.007527190057347337</v>
      </c>
      <c r="T24" s="84">
        <v>0.05226498231943114</v>
      </c>
      <c r="U24" s="84">
        <v>0.41254580098861265</v>
      </c>
      <c r="V24" s="84">
        <v>-0.3841414964607058</v>
      </c>
      <c r="W24" s="85">
        <v>0.5178265077269628</v>
      </c>
      <c r="X24" s="85">
        <v>0.18305025992075755</v>
      </c>
      <c r="Y24" s="90">
        <v>0.7931986451148987</v>
      </c>
      <c r="Z24" s="85">
        <v>0.1700815423189385</v>
      </c>
      <c r="AA24" s="84" t="s">
        <v>158</v>
      </c>
      <c r="AB24" s="91" t="s">
        <v>159</v>
      </c>
      <c r="AC24" s="84">
        <v>0</v>
      </c>
      <c r="AD24" s="84">
        <v>0.07152783786170097</v>
      </c>
      <c r="AE24" s="84">
        <v>0.9706119905876538</v>
      </c>
      <c r="AF24" s="84">
        <v>0.6541551651913607</v>
      </c>
      <c r="AG24" s="84">
        <v>-0.31645682539629305</v>
      </c>
      <c r="AH24" s="85">
        <v>0.6739615536743006</v>
      </c>
      <c r="AI24" s="96" t="s">
        <v>160</v>
      </c>
      <c r="AJ24" s="96" t="s">
        <v>161</v>
      </c>
    </row>
    <row r="25" spans="1:36" ht="67.5">
      <c r="A25" s="88" t="s">
        <v>426</v>
      </c>
      <c r="B25" s="81" t="s">
        <v>446</v>
      </c>
      <c r="C25" s="81" t="s">
        <v>443</v>
      </c>
      <c r="D25" s="81" t="s">
        <v>165</v>
      </c>
      <c r="E25" s="82">
        <v>885.86</v>
      </c>
      <c r="F25" s="82">
        <v>15.008332737965063</v>
      </c>
      <c r="G25" s="82">
        <v>14.473712921142578</v>
      </c>
      <c r="H25" s="83">
        <v>18</v>
      </c>
      <c r="I25" s="83" t="s">
        <v>157</v>
      </c>
      <c r="J25" s="83">
        <v>995.3074188633602</v>
      </c>
      <c r="K25" s="83">
        <v>1071.1996095516915</v>
      </c>
      <c r="L25" s="85">
        <v>0.2930447459220886</v>
      </c>
      <c r="M25" s="85">
        <v>0.22680006404719258</v>
      </c>
      <c r="N25" s="89">
        <v>0.8269820873046476</v>
      </c>
      <c r="O25" s="89">
        <v>0.16702670885716575</v>
      </c>
      <c r="P25" s="89">
        <v>0.013511686143350988</v>
      </c>
      <c r="Q25" s="89">
        <v>0.8269820873046476</v>
      </c>
      <c r="R25" s="84">
        <v>0.3547058870755612</v>
      </c>
      <c r="S25" s="84">
        <v>0.007572126976263431</v>
      </c>
      <c r="T25" s="84">
        <v>0.05243605287872044</v>
      </c>
      <c r="U25" s="84">
        <v>0.41437070126479447</v>
      </c>
      <c r="V25" s="84">
        <v>-0.41261138603985315</v>
      </c>
      <c r="W25" s="85">
        <v>0.5010636960896429</v>
      </c>
      <c r="X25" s="85">
        <v>0.18311437549986512</v>
      </c>
      <c r="Y25" s="90">
        <v>0.764409065246582</v>
      </c>
      <c r="Z25" s="85">
        <v>0.17014111544702912</v>
      </c>
      <c r="AA25" s="84" t="s">
        <v>158</v>
      </c>
      <c r="AB25" s="91" t="s">
        <v>159</v>
      </c>
      <c r="AC25" s="84">
        <v>0</v>
      </c>
      <c r="AD25" s="84">
        <v>0.07152783786170097</v>
      </c>
      <c r="AE25" s="84">
        <v>1.0075204318042483</v>
      </c>
      <c r="AF25" s="84">
        <v>0.6560396815096879</v>
      </c>
      <c r="AG25" s="84">
        <v>-0.3514807502945604</v>
      </c>
      <c r="AH25" s="85">
        <v>0.6511428064390363</v>
      </c>
      <c r="AI25" s="96" t="s">
        <v>160</v>
      </c>
      <c r="AJ25" s="96" t="s">
        <v>161</v>
      </c>
    </row>
    <row r="26" spans="1:36" ht="67.5">
      <c r="A26" s="88" t="s">
        <v>438</v>
      </c>
      <c r="B26" s="81" t="s">
        <v>446</v>
      </c>
      <c r="C26" s="81" t="s">
        <v>444</v>
      </c>
      <c r="D26" s="81" t="s">
        <v>379</v>
      </c>
      <c r="E26" s="82">
        <v>885.86</v>
      </c>
      <c r="F26" s="82">
        <v>15.008332737965063</v>
      </c>
      <c r="G26" s="82">
        <v>14.473712921142578</v>
      </c>
      <c r="H26" s="83">
        <v>18</v>
      </c>
      <c r="I26" s="83" t="s">
        <v>157</v>
      </c>
      <c r="J26" s="83">
        <v>994.1851005855934</v>
      </c>
      <c r="K26" s="83">
        <v>1069.991714505245</v>
      </c>
      <c r="L26" s="85">
        <v>0.3027242422103882</v>
      </c>
      <c r="M26" s="85">
        <v>0.2340272398562526</v>
      </c>
      <c r="N26" s="89">
        <v>0.8279156530072729</v>
      </c>
      <c r="O26" s="89">
        <v>0.16721526240530804</v>
      </c>
      <c r="P26" s="89">
        <v>0.01352693925095962</v>
      </c>
      <c r="Q26" s="89">
        <v>0.8279156530072729</v>
      </c>
      <c r="R26" s="84">
        <v>0.3454921946339524</v>
      </c>
      <c r="S26" s="84">
        <v>0.007822239028525513</v>
      </c>
      <c r="T26" s="84">
        <v>0.051570211428792624</v>
      </c>
      <c r="U26" s="84">
        <v>0.40452993839797347</v>
      </c>
      <c r="V26" s="84">
        <v>-0.4233857146092994</v>
      </c>
      <c r="W26" s="85">
        <v>0.48861250168248704</v>
      </c>
      <c r="X26" s="85">
        <v>0.1834711939307264</v>
      </c>
      <c r="Y26" s="90">
        <v>0.7650349736213684</v>
      </c>
      <c r="Z26" s="85">
        <v>0.17047265405874693</v>
      </c>
      <c r="AA26" s="84" t="s">
        <v>158</v>
      </c>
      <c r="AB26" s="91" t="s">
        <v>159</v>
      </c>
      <c r="AC26" s="84">
        <v>0</v>
      </c>
      <c r="AD26" s="84">
        <v>0.07152783786170099</v>
      </c>
      <c r="AE26" s="84">
        <v>1.008657804105615</v>
      </c>
      <c r="AF26" s="84">
        <v>0.6465304517637075</v>
      </c>
      <c r="AG26" s="84">
        <v>-0.3621273523419074</v>
      </c>
      <c r="AH26" s="85">
        <v>0.6409809641407487</v>
      </c>
      <c r="AI26" s="96" t="s">
        <v>160</v>
      </c>
      <c r="AJ26" s="96" t="s">
        <v>161</v>
      </c>
    </row>
    <row r="27" spans="1:36" ht="67.5">
      <c r="A27" s="88" t="s">
        <v>423</v>
      </c>
      <c r="B27" s="81" t="s">
        <v>446</v>
      </c>
      <c r="C27" s="81" t="s">
        <v>443</v>
      </c>
      <c r="D27" s="81" t="s">
        <v>166</v>
      </c>
      <c r="E27" s="82">
        <v>885.86</v>
      </c>
      <c r="F27" s="82">
        <v>15.008332737965063</v>
      </c>
      <c r="G27" s="82">
        <v>14.473712921142578</v>
      </c>
      <c r="H27" s="83">
        <v>18</v>
      </c>
      <c r="I27" s="83" t="s">
        <v>157</v>
      </c>
      <c r="J27" s="83">
        <v>946.6801145704309</v>
      </c>
      <c r="K27" s="83">
        <v>1018.8644733064262</v>
      </c>
      <c r="L27" s="85">
        <v>0.30809733271598816</v>
      </c>
      <c r="M27" s="85">
        <v>0.22680006404719258</v>
      </c>
      <c r="N27" s="89">
        <v>0.8694609658458037</v>
      </c>
      <c r="O27" s="89">
        <v>0.17560622634320633</v>
      </c>
      <c r="P27" s="89">
        <v>0.014205729319594766</v>
      </c>
      <c r="Q27" s="89">
        <v>0.8694609658458037</v>
      </c>
      <c r="R27" s="84">
        <v>0.3461580489086346</v>
      </c>
      <c r="S27" s="84">
        <v>0.007961077918564086</v>
      </c>
      <c r="T27" s="84">
        <v>0.05166762100945742</v>
      </c>
      <c r="U27" s="84">
        <v>0.4054257457377042</v>
      </c>
      <c r="V27" s="84">
        <v>-0.4640352201080995</v>
      </c>
      <c r="W27" s="85">
        <v>0.46629551143024545</v>
      </c>
      <c r="X27" s="85">
        <v>0.18366929381857042</v>
      </c>
      <c r="Y27" s="90">
        <v>0.7292659878730774</v>
      </c>
      <c r="Z27" s="85">
        <v>0.1706567189951874</v>
      </c>
      <c r="AA27" s="84" t="s">
        <v>158</v>
      </c>
      <c r="AB27" s="91" t="s">
        <v>159</v>
      </c>
      <c r="AC27" s="84">
        <v>0</v>
      </c>
      <c r="AD27" s="84">
        <v>0.07152783786170099</v>
      </c>
      <c r="AE27" s="84">
        <v>1.0592728684136516</v>
      </c>
      <c r="AF27" s="84">
        <v>0.6476103208272875</v>
      </c>
      <c r="AG27" s="84">
        <v>-0.4116625475863641</v>
      </c>
      <c r="AH27" s="85">
        <v>0.611372518015247</v>
      </c>
      <c r="AI27" s="96" t="s">
        <v>160</v>
      </c>
      <c r="AJ27" s="96" t="s">
        <v>161</v>
      </c>
    </row>
    <row r="28" spans="1:36" ht="67.5">
      <c r="A28" s="88" t="s">
        <v>436</v>
      </c>
      <c r="B28" s="81" t="s">
        <v>446</v>
      </c>
      <c r="C28" s="81" t="s">
        <v>444</v>
      </c>
      <c r="D28" s="81" t="s">
        <v>164</v>
      </c>
      <c r="E28" s="82">
        <v>885.86</v>
      </c>
      <c r="F28" s="82">
        <v>15.008332737965063</v>
      </c>
      <c r="G28" s="82">
        <v>14.473712921142578</v>
      </c>
      <c r="H28" s="83">
        <v>18</v>
      </c>
      <c r="I28" s="83" t="s">
        <v>157</v>
      </c>
      <c r="J28" s="83">
        <v>835.1641167260786</v>
      </c>
      <c r="K28" s="83">
        <v>898.8453806264422</v>
      </c>
      <c r="L28" s="85">
        <v>0.24066901206970215</v>
      </c>
      <c r="M28" s="85">
        <v>0.15629460353069907</v>
      </c>
      <c r="N28" s="89">
        <v>0.9855564795911698</v>
      </c>
      <c r="O28" s="89">
        <v>0.19905419682727196</v>
      </c>
      <c r="P28" s="89">
        <v>0.016102561389429688</v>
      </c>
      <c r="Q28" s="89">
        <v>0.9855564795911698</v>
      </c>
      <c r="R28" s="84">
        <v>0.39634330547349167</v>
      </c>
      <c r="S28" s="84">
        <v>0.006218764088966066</v>
      </c>
      <c r="T28" s="84">
        <v>0.056299326092553933</v>
      </c>
      <c r="U28" s="84">
        <v>0.45857939927674746</v>
      </c>
      <c r="V28" s="84">
        <v>-0.5269770803144223</v>
      </c>
      <c r="W28" s="85">
        <v>0.4652999688733985</v>
      </c>
      <c r="X28" s="85">
        <v>0.18118354241229037</v>
      </c>
      <c r="Y28" s="90">
        <v>0.634653627872467</v>
      </c>
      <c r="Z28" s="85">
        <v>0.16834707773499685</v>
      </c>
      <c r="AA28" s="84" t="s">
        <v>158</v>
      </c>
      <c r="AB28" s="91" t="s">
        <v>159</v>
      </c>
      <c r="AC28" s="84">
        <v>0</v>
      </c>
      <c r="AD28" s="84">
        <v>0.07152783786170096</v>
      </c>
      <c r="AE28" s="84">
        <v>1.2007131776233695</v>
      </c>
      <c r="AF28" s="84">
        <v>0.6984543089732268</v>
      </c>
      <c r="AG28" s="84">
        <v>-0.5022588686501427</v>
      </c>
      <c r="AH28" s="85">
        <v>0.5816995448952361</v>
      </c>
      <c r="AI28" s="96" t="s">
        <v>160</v>
      </c>
      <c r="AJ28" s="96" t="s">
        <v>161</v>
      </c>
    </row>
    <row r="29" spans="1:36" ht="67.5">
      <c r="A29" s="88" t="s">
        <v>435</v>
      </c>
      <c r="B29" s="81" t="s">
        <v>446</v>
      </c>
      <c r="C29" s="81" t="s">
        <v>444</v>
      </c>
      <c r="D29" s="81" t="s">
        <v>165</v>
      </c>
      <c r="E29" s="82">
        <v>885.86</v>
      </c>
      <c r="F29" s="82">
        <v>15.008332737965063</v>
      </c>
      <c r="G29" s="82">
        <v>14.473712921142578</v>
      </c>
      <c r="H29" s="83">
        <v>18</v>
      </c>
      <c r="I29" s="83" t="s">
        <v>157</v>
      </c>
      <c r="J29" s="83">
        <v>751.5611288213803</v>
      </c>
      <c r="K29" s="83">
        <v>808.8676648940105</v>
      </c>
      <c r="L29" s="85">
        <v>0.2674408257007599</v>
      </c>
      <c r="M29" s="85">
        <v>0.15629460353069907</v>
      </c>
      <c r="N29" s="89">
        <v>1.0951889010708074</v>
      </c>
      <c r="O29" s="89">
        <v>0.22119680768292863</v>
      </c>
      <c r="P29" s="89">
        <v>0.017893795919063142</v>
      </c>
      <c r="Q29" s="89">
        <v>1.0951889010708074</v>
      </c>
      <c r="R29" s="84">
        <v>0.3643247613760538</v>
      </c>
      <c r="S29" s="84">
        <v>0.006910533845243026</v>
      </c>
      <c r="T29" s="84">
        <v>0.05325105817856534</v>
      </c>
      <c r="U29" s="84">
        <v>0.42417298563860045</v>
      </c>
      <c r="V29" s="84">
        <v>-0.6710159154322068</v>
      </c>
      <c r="W29" s="85">
        <v>0.38730577457813037</v>
      </c>
      <c r="X29" s="85">
        <v>0.182170473503348</v>
      </c>
      <c r="Y29" s="90">
        <v>0.5742334723472595</v>
      </c>
      <c r="Z29" s="85">
        <v>0.16926408687883668</v>
      </c>
      <c r="AA29" s="84" t="s">
        <v>158</v>
      </c>
      <c r="AB29" s="91" t="s">
        <v>159</v>
      </c>
      <c r="AC29" s="84">
        <v>0</v>
      </c>
      <c r="AD29" s="84">
        <v>0.07152783786170097</v>
      </c>
      <c r="AE29" s="84">
        <v>1.334279437793427</v>
      </c>
      <c r="AF29" s="84">
        <v>0.6649648819613441</v>
      </c>
      <c r="AG29" s="84">
        <v>-0.669314555832083</v>
      </c>
      <c r="AH29" s="85">
        <v>0.49837002889067517</v>
      </c>
      <c r="AI29" s="96" t="s">
        <v>160</v>
      </c>
      <c r="AJ29" s="96" t="s">
        <v>161</v>
      </c>
    </row>
    <row r="30" spans="1:36" ht="67.5">
      <c r="A30" s="88" t="s">
        <v>432</v>
      </c>
      <c r="B30" s="81" t="s">
        <v>446</v>
      </c>
      <c r="C30" s="81" t="s">
        <v>444</v>
      </c>
      <c r="D30" s="81" t="s">
        <v>166</v>
      </c>
      <c r="E30" s="82">
        <v>885.86</v>
      </c>
      <c r="F30" s="82">
        <v>15.008332737965063</v>
      </c>
      <c r="G30" s="82">
        <v>14.473712921142578</v>
      </c>
      <c r="H30" s="83">
        <v>18</v>
      </c>
      <c r="I30" s="83" t="s">
        <v>157</v>
      </c>
      <c r="J30" s="83">
        <v>712.5913022521514</v>
      </c>
      <c r="K30" s="83">
        <v>766.926389048878</v>
      </c>
      <c r="L30" s="85">
        <v>0.2820664942264557</v>
      </c>
      <c r="M30" s="85">
        <v>0.15629460353069907</v>
      </c>
      <c r="N30" s="89">
        <v>1.1550820283099208</v>
      </c>
      <c r="O30" s="89">
        <v>0.23329350491432504</v>
      </c>
      <c r="P30" s="89">
        <v>0.01887236262543071</v>
      </c>
      <c r="Q30" s="89">
        <v>1.1550820283099208</v>
      </c>
      <c r="R30" s="84">
        <v>0.3543317574850372</v>
      </c>
      <c r="S30" s="84">
        <v>0.007288453565282794</v>
      </c>
      <c r="T30" s="84">
        <v>0.05233565659430325</v>
      </c>
      <c r="U30" s="84">
        <v>0.41362536631894037</v>
      </c>
      <c r="V30" s="84">
        <v>-0.7414566619909804</v>
      </c>
      <c r="W30" s="85">
        <v>0.35809176853365454</v>
      </c>
      <c r="X30" s="85">
        <v>0.18270965557659402</v>
      </c>
      <c r="Y30" s="90">
        <v>0.5460698008537292</v>
      </c>
      <c r="Z30" s="85">
        <v>0.1697650690607145</v>
      </c>
      <c r="AA30" s="84" t="s">
        <v>158</v>
      </c>
      <c r="AB30" s="91" t="s">
        <v>159</v>
      </c>
      <c r="AC30" s="84">
        <v>0</v>
      </c>
      <c r="AD30" s="84">
        <v>0.07152783786170096</v>
      </c>
      <c r="AE30" s="84">
        <v>1.4072478253128398</v>
      </c>
      <c r="AF30" s="84">
        <v>0.6549182764588736</v>
      </c>
      <c r="AG30" s="84">
        <v>-0.7523295488539662</v>
      </c>
      <c r="AH30" s="85">
        <v>0.46538943935712335</v>
      </c>
      <c r="AI30" s="96" t="s">
        <v>160</v>
      </c>
      <c r="AJ30" s="96" t="s">
        <v>161</v>
      </c>
    </row>
    <row r="31" spans="1:36" ht="56.25">
      <c r="A31" s="88" t="s">
        <v>395</v>
      </c>
      <c r="B31" s="81" t="s">
        <v>445</v>
      </c>
      <c r="C31" s="81" t="s">
        <v>444</v>
      </c>
      <c r="D31" s="81" t="s">
        <v>167</v>
      </c>
      <c r="E31" s="82">
        <v>641.01</v>
      </c>
      <c r="F31" s="82">
        <v>0.29</v>
      </c>
      <c r="G31" s="82">
        <v>0.9046288728713989</v>
      </c>
      <c r="H31" s="83">
        <v>18</v>
      </c>
      <c r="I31" s="83" t="s">
        <v>157</v>
      </c>
      <c r="J31" s="83">
        <v>268.97219081605044</v>
      </c>
      <c r="K31" s="83">
        <v>289.48132036577425</v>
      </c>
      <c r="L31" s="85">
        <v>0</v>
      </c>
      <c r="M31" s="85">
        <v>0</v>
      </c>
      <c r="N31" s="89">
        <v>2.2143554408652526</v>
      </c>
      <c r="O31" s="89">
        <v>0.011815004136860303</v>
      </c>
      <c r="P31" s="89">
        <v>0.0031249991250846677</v>
      </c>
      <c r="Q31" s="89">
        <v>2.2143554408652526</v>
      </c>
      <c r="R31" s="84">
        <v>0.532985918431572</v>
      </c>
      <c r="S31" s="84">
        <v>0</v>
      </c>
      <c r="T31" s="84">
        <v>0.06858293119895084</v>
      </c>
      <c r="U31" s="84">
        <v>0.6015688496305228</v>
      </c>
      <c r="V31" s="84">
        <v>-1.61278659123473</v>
      </c>
      <c r="W31" s="85">
        <v>0.27166770001272317</v>
      </c>
      <c r="X31" s="85">
        <v>0.17231138083040262</v>
      </c>
      <c r="Y31" s="90">
        <v>0.19438713788986206</v>
      </c>
      <c r="Z31" s="85">
        <v>0.16010348973788863</v>
      </c>
      <c r="AA31" s="84" t="s">
        <v>158</v>
      </c>
      <c r="AB31" s="91" t="s">
        <v>159</v>
      </c>
      <c r="AC31" s="84">
        <v>0</v>
      </c>
      <c r="AD31" s="84">
        <v>0.07152783786170097</v>
      </c>
      <c r="AE31" s="84">
        <v>2.229295540342594</v>
      </c>
      <c r="AF31" s="84">
        <v>0.8332001941583699</v>
      </c>
      <c r="AG31" s="84">
        <v>-1.3960953461842238</v>
      </c>
      <c r="AH31" s="85">
        <v>0.3737504422721472</v>
      </c>
      <c r="AI31" s="96" t="s">
        <v>160</v>
      </c>
      <c r="AJ31" s="96" t="s">
        <v>161</v>
      </c>
    </row>
    <row r="32" spans="1:36" ht="67.5">
      <c r="A32" s="88" t="s">
        <v>392</v>
      </c>
      <c r="B32" s="81" t="s">
        <v>445</v>
      </c>
      <c r="C32" s="81" t="s">
        <v>443</v>
      </c>
      <c r="D32" s="81" t="s">
        <v>167</v>
      </c>
      <c r="E32" s="82">
        <v>641.01</v>
      </c>
      <c r="F32" s="82">
        <v>0.29</v>
      </c>
      <c r="G32" s="82">
        <v>0.9046288728713989</v>
      </c>
      <c r="H32" s="83">
        <v>18</v>
      </c>
      <c r="I32" s="83" t="s">
        <v>157</v>
      </c>
      <c r="J32" s="83">
        <v>261.7628367003367</v>
      </c>
      <c r="K32" s="83">
        <v>281.7222529987374</v>
      </c>
      <c r="L32" s="85">
        <v>0</v>
      </c>
      <c r="M32" s="85">
        <v>0</v>
      </c>
      <c r="N32" s="89">
        <v>2.275342220778286</v>
      </c>
      <c r="O32" s="89">
        <v>0.012140407657753375</v>
      </c>
      <c r="P32" s="89">
        <v>0.0032110664430738214</v>
      </c>
      <c r="Q32" s="89">
        <v>2.275342220778286</v>
      </c>
      <c r="R32" s="84">
        <v>0.5329859184315727</v>
      </c>
      <c r="S32" s="84">
        <v>0</v>
      </c>
      <c r="T32" s="84">
        <v>0.06858293389287586</v>
      </c>
      <c r="U32" s="84">
        <v>0.6015688523244486</v>
      </c>
      <c r="V32" s="84">
        <v>-1.6737733684538374</v>
      </c>
      <c r="W32" s="85">
        <v>0.2643860984211336</v>
      </c>
      <c r="X32" s="85">
        <v>0.17231137165424593</v>
      </c>
      <c r="Y32" s="90">
        <v>0.18917690217494965</v>
      </c>
      <c r="Z32" s="85">
        <v>0.1601034812118429</v>
      </c>
      <c r="AA32" s="84" t="s">
        <v>158</v>
      </c>
      <c r="AB32" s="91" t="s">
        <v>159</v>
      </c>
      <c r="AC32" s="84">
        <v>0</v>
      </c>
      <c r="AD32" s="84">
        <v>0.07152783786170097</v>
      </c>
      <c r="AE32" s="84">
        <v>2.290693793744431</v>
      </c>
      <c r="AF32" s="84">
        <v>0.833200185028505</v>
      </c>
      <c r="AG32" s="84">
        <v>-1.457493608715926</v>
      </c>
      <c r="AH32" s="85">
        <v>0.3637326766693391</v>
      </c>
      <c r="AI32" s="96" t="s">
        <v>160</v>
      </c>
      <c r="AJ32" s="96" t="s">
        <v>161</v>
      </c>
    </row>
    <row r="33" spans="1:36" ht="56.25">
      <c r="A33" s="88" t="s">
        <v>389</v>
      </c>
      <c r="B33" s="81" t="s">
        <v>445</v>
      </c>
      <c r="C33" s="81" t="s">
        <v>442</v>
      </c>
      <c r="D33" s="81" t="s">
        <v>167</v>
      </c>
      <c r="E33" s="82">
        <v>641.01</v>
      </c>
      <c r="F33" s="82">
        <v>0.29</v>
      </c>
      <c r="G33" s="82">
        <v>0.9046288728713989</v>
      </c>
      <c r="H33" s="83">
        <v>18</v>
      </c>
      <c r="I33" s="83" t="s">
        <v>157</v>
      </c>
      <c r="J33" s="83">
        <v>247.0804748663104</v>
      </c>
      <c r="K33" s="83">
        <v>265.92036107486655</v>
      </c>
      <c r="L33" s="85">
        <v>0</v>
      </c>
      <c r="M33" s="85">
        <v>0</v>
      </c>
      <c r="N33" s="89">
        <v>2.4105507911834545</v>
      </c>
      <c r="O33" s="89">
        <v>0.012861831955404439</v>
      </c>
      <c r="P33" s="89">
        <v>0.00340187892801752</v>
      </c>
      <c r="Q33" s="89">
        <v>2.4105507911834545</v>
      </c>
      <c r="R33" s="84">
        <v>0.532985918431572</v>
      </c>
      <c r="S33" s="84">
        <v>0</v>
      </c>
      <c r="T33" s="84">
        <v>0.0685829334221417</v>
      </c>
      <c r="U33" s="84">
        <v>0.6015688518537137</v>
      </c>
      <c r="V33" s="84">
        <v>-1.8089819393297408</v>
      </c>
      <c r="W33" s="85">
        <v>0.24955659679685688</v>
      </c>
      <c r="X33" s="85">
        <v>0.17231137231234891</v>
      </c>
      <c r="Y33" s="90">
        <v>0.17856591939926147</v>
      </c>
      <c r="Z33" s="85">
        <v>0.16010348182332074</v>
      </c>
      <c r="AA33" s="84" t="s">
        <v>158</v>
      </c>
      <c r="AB33" s="91" t="s">
        <v>159</v>
      </c>
      <c r="AC33" s="84">
        <v>0</v>
      </c>
      <c r="AD33" s="84">
        <v>0.07152783786170096</v>
      </c>
      <c r="AE33" s="84">
        <v>2.426814606807107</v>
      </c>
      <c r="AF33" s="84">
        <v>0.8332001909680921</v>
      </c>
      <c r="AG33" s="84">
        <v>-1.5936144158390149</v>
      </c>
      <c r="AH33" s="85">
        <v>0.34333079611067224</v>
      </c>
      <c r="AI33" s="96" t="s">
        <v>160</v>
      </c>
      <c r="AJ33" s="96" t="s">
        <v>161</v>
      </c>
    </row>
    <row r="34" spans="1:36" ht="56.25">
      <c r="A34" s="88" t="s">
        <v>394</v>
      </c>
      <c r="B34" s="81" t="s">
        <v>445</v>
      </c>
      <c r="C34" s="81" t="s">
        <v>444</v>
      </c>
      <c r="D34" s="81" t="s">
        <v>168</v>
      </c>
      <c r="E34" s="82">
        <v>641.01</v>
      </c>
      <c r="F34" s="82">
        <v>0.29</v>
      </c>
      <c r="G34" s="82">
        <v>0.9046288728713989</v>
      </c>
      <c r="H34" s="83">
        <v>18</v>
      </c>
      <c r="I34" s="83" t="s">
        <v>157</v>
      </c>
      <c r="J34" s="83">
        <v>185.3692029113521</v>
      </c>
      <c r="K34" s="83">
        <v>199.5036046333427</v>
      </c>
      <c r="L34" s="85">
        <v>0</v>
      </c>
      <c r="M34" s="85">
        <v>0</v>
      </c>
      <c r="N34" s="89">
        <v>3.213047393097968</v>
      </c>
      <c r="O34" s="89">
        <v>0.017143665168111902</v>
      </c>
      <c r="P34" s="89">
        <v>0.004534398636726235</v>
      </c>
      <c r="Q34" s="89">
        <v>3.213047393097968</v>
      </c>
      <c r="R34" s="84">
        <v>0.46479680056212924</v>
      </c>
      <c r="S34" s="84">
        <v>0</v>
      </c>
      <c r="T34" s="84">
        <v>0.0617640241873442</v>
      </c>
      <c r="U34" s="84">
        <v>0.5265608247494734</v>
      </c>
      <c r="V34" s="84">
        <v>-2.6864865683484944</v>
      </c>
      <c r="W34" s="85">
        <v>0.16388205971707503</v>
      </c>
      <c r="X34" s="85">
        <v>0.17231136961007304</v>
      </c>
      <c r="Y34" s="90">
        <v>0.13396696746349335</v>
      </c>
      <c r="Z34" s="85">
        <v>0.16010347931249527</v>
      </c>
      <c r="AA34" s="84" t="s">
        <v>158</v>
      </c>
      <c r="AB34" s="91" t="s">
        <v>159</v>
      </c>
      <c r="AC34" s="84">
        <v>0</v>
      </c>
      <c r="AD34" s="84">
        <v>0.07152783786170097</v>
      </c>
      <c r="AE34" s="84">
        <v>3.2347255965121136</v>
      </c>
      <c r="AF34" s="84">
        <v>0.7581921638967132</v>
      </c>
      <c r="AG34" s="84">
        <v>-2.4765334326154003</v>
      </c>
      <c r="AH34" s="85">
        <v>0.23439149358271505</v>
      </c>
      <c r="AI34" s="96" t="s">
        <v>160</v>
      </c>
      <c r="AJ34" s="96" t="s">
        <v>161</v>
      </c>
    </row>
    <row r="35" spans="1:36" ht="67.5">
      <c r="A35" s="88" t="s">
        <v>391</v>
      </c>
      <c r="B35" s="81" t="s">
        <v>445</v>
      </c>
      <c r="C35" s="81" t="s">
        <v>443</v>
      </c>
      <c r="D35" s="81" t="s">
        <v>168</v>
      </c>
      <c r="E35" s="82">
        <v>641.01</v>
      </c>
      <c r="F35" s="82">
        <v>0.29</v>
      </c>
      <c r="G35" s="82">
        <v>0.9046288728713989</v>
      </c>
      <c r="H35" s="83">
        <v>18</v>
      </c>
      <c r="I35" s="83" t="s">
        <v>157</v>
      </c>
      <c r="J35" s="83">
        <v>173.70281986531995</v>
      </c>
      <c r="K35" s="83">
        <v>186.9476598800506</v>
      </c>
      <c r="L35" s="85">
        <v>0</v>
      </c>
      <c r="M35" s="85">
        <v>0</v>
      </c>
      <c r="N35" s="89">
        <v>3.4288449354867416</v>
      </c>
      <c r="O35" s="89">
        <v>0.01829508323270743</v>
      </c>
      <c r="P35" s="89">
        <v>0.00483894194477656</v>
      </c>
      <c r="Q35" s="89">
        <v>3.4288449354867416</v>
      </c>
      <c r="R35" s="84">
        <v>0.4647968005621297</v>
      </c>
      <c r="S35" s="84">
        <v>0</v>
      </c>
      <c r="T35" s="84">
        <v>0.0617640223464279</v>
      </c>
      <c r="U35" s="84">
        <v>0.5265608229085575</v>
      </c>
      <c r="V35" s="84">
        <v>-2.902284112578184</v>
      </c>
      <c r="W35" s="85">
        <v>0.15356798945876204</v>
      </c>
      <c r="X35" s="85">
        <v>0.1723113935832133</v>
      </c>
      <c r="Y35" s="90">
        <v>0.12553563714027405</v>
      </c>
      <c r="Z35" s="85">
        <v>0.16010350158719006</v>
      </c>
      <c r="AA35" s="84" t="s">
        <v>158</v>
      </c>
      <c r="AB35" s="91" t="s">
        <v>159</v>
      </c>
      <c r="AC35" s="84">
        <v>0</v>
      </c>
      <c r="AD35" s="84">
        <v>0.07152783786170096</v>
      </c>
      <c r="AE35" s="84">
        <v>3.451979109650097</v>
      </c>
      <c r="AF35" s="84">
        <v>0.7581921518894698</v>
      </c>
      <c r="AG35" s="84">
        <v>-2.6937869577606275</v>
      </c>
      <c r="AH35" s="85">
        <v>0.21963984363923986</v>
      </c>
      <c r="AI35" s="96" t="s">
        <v>160</v>
      </c>
      <c r="AJ35" s="96" t="s">
        <v>161</v>
      </c>
    </row>
    <row r="36" spans="1:36" ht="56.25">
      <c r="A36" s="88" t="s">
        <v>388</v>
      </c>
      <c r="B36" s="81" t="s">
        <v>445</v>
      </c>
      <c r="C36" s="81" t="s">
        <v>442</v>
      </c>
      <c r="D36" s="81" t="s">
        <v>168</v>
      </c>
      <c r="E36" s="82">
        <v>641.01</v>
      </c>
      <c r="F36" s="82">
        <v>0.29</v>
      </c>
      <c r="G36" s="82">
        <v>0.9046288728713989</v>
      </c>
      <c r="H36" s="83">
        <v>18</v>
      </c>
      <c r="I36" s="83" t="s">
        <v>157</v>
      </c>
      <c r="J36" s="83">
        <v>163.79846502673809</v>
      </c>
      <c r="K36" s="83">
        <v>176.28809798502687</v>
      </c>
      <c r="L36" s="85">
        <v>0</v>
      </c>
      <c r="M36" s="85">
        <v>0</v>
      </c>
      <c r="N36" s="89">
        <v>3.636175919461417</v>
      </c>
      <c r="O36" s="89">
        <v>0.01940132678699559</v>
      </c>
      <c r="P36" s="89">
        <v>0.005131536860464817</v>
      </c>
      <c r="Q36" s="89">
        <v>3.636175919461417</v>
      </c>
      <c r="R36" s="84">
        <v>0.4647968005621291</v>
      </c>
      <c r="S36" s="84">
        <v>0</v>
      </c>
      <c r="T36" s="84">
        <v>0.06176402646106638</v>
      </c>
      <c r="U36" s="84">
        <v>0.5265608270231955</v>
      </c>
      <c r="V36" s="84">
        <v>-3.1096150924382213</v>
      </c>
      <c r="W36" s="85">
        <v>0.14481170292255516</v>
      </c>
      <c r="X36" s="85">
        <v>0.17231139706702459</v>
      </c>
      <c r="Y36" s="90">
        <v>0.11837771534919739</v>
      </c>
      <c r="Z36" s="85">
        <v>0.1601035048241808</v>
      </c>
      <c r="AA36" s="84" t="s">
        <v>158</v>
      </c>
      <c r="AB36" s="91" t="s">
        <v>159</v>
      </c>
      <c r="AC36" s="84">
        <v>0</v>
      </c>
      <c r="AD36" s="84">
        <v>0.07152783786170096</v>
      </c>
      <c r="AE36" s="84">
        <v>3.660708941103435</v>
      </c>
      <c r="AF36" s="84">
        <v>0.7581922125728303</v>
      </c>
      <c r="AG36" s="84">
        <v>-2.9025167285306046</v>
      </c>
      <c r="AH36" s="85">
        <v>0.20711622387118575</v>
      </c>
      <c r="AI36" s="96" t="s">
        <v>160</v>
      </c>
      <c r="AJ36" s="96" t="s">
        <v>161</v>
      </c>
    </row>
    <row r="37" spans="1:36" ht="56.25">
      <c r="A37" s="88" t="s">
        <v>393</v>
      </c>
      <c r="B37" s="81" t="s">
        <v>445</v>
      </c>
      <c r="C37" s="81" t="s">
        <v>444</v>
      </c>
      <c r="D37" s="81" t="s">
        <v>169</v>
      </c>
      <c r="E37" s="82">
        <v>641.01</v>
      </c>
      <c r="F37" s="82">
        <v>0.29</v>
      </c>
      <c r="G37" s="82">
        <v>0.9046288728713989</v>
      </c>
      <c r="H37" s="83">
        <v>18</v>
      </c>
      <c r="I37" s="83" t="s">
        <v>157</v>
      </c>
      <c r="J37" s="83">
        <v>146.39937634212322</v>
      </c>
      <c r="K37" s="83">
        <v>157.56232878821012</v>
      </c>
      <c r="L37" s="85">
        <v>0</v>
      </c>
      <c r="M37" s="85">
        <v>0</v>
      </c>
      <c r="N37" s="89">
        <v>4.0683235752528075</v>
      </c>
      <c r="O37" s="89">
        <v>0.021707111236358736</v>
      </c>
      <c r="P37" s="89">
        <v>0.0057414032899156375</v>
      </c>
      <c r="Q37" s="89">
        <v>4.0683235752528075</v>
      </c>
      <c r="R37" s="84">
        <v>0.4429008759068147</v>
      </c>
      <c r="S37" s="84">
        <v>0</v>
      </c>
      <c r="T37" s="84">
        <v>0.05957442647357787</v>
      </c>
      <c r="U37" s="84">
        <v>0.5024753023803926</v>
      </c>
      <c r="V37" s="84">
        <v>-3.565848272872415</v>
      </c>
      <c r="W37" s="85">
        <v>0.12350917843332276</v>
      </c>
      <c r="X37" s="85">
        <v>0.1723113781994671</v>
      </c>
      <c r="Y37" s="90">
        <v>0.10580333322286606</v>
      </c>
      <c r="Z37" s="85">
        <v>0.16010348729334922</v>
      </c>
      <c r="AA37" s="84" t="s">
        <v>158</v>
      </c>
      <c r="AB37" s="91" t="s">
        <v>159</v>
      </c>
      <c r="AC37" s="84">
        <v>0</v>
      </c>
      <c r="AD37" s="84">
        <v>0.07152783786170096</v>
      </c>
      <c r="AE37" s="84">
        <v>4.095772266550778</v>
      </c>
      <c r="AF37" s="84">
        <v>0.734106623219419</v>
      </c>
      <c r="AG37" s="84">
        <v>-3.361665643331359</v>
      </c>
      <c r="AH37" s="85">
        <v>0.17923521510575613</v>
      </c>
      <c r="AI37" s="96" t="s">
        <v>160</v>
      </c>
      <c r="AJ37" s="96" t="s">
        <v>161</v>
      </c>
    </row>
    <row r="38" spans="1:36" ht="56.25">
      <c r="A38" s="88" t="s">
        <v>387</v>
      </c>
      <c r="B38" s="81" t="s">
        <v>445</v>
      </c>
      <c r="C38" s="81" t="s">
        <v>442</v>
      </c>
      <c r="D38" s="81" t="s">
        <v>169</v>
      </c>
      <c r="E38" s="82">
        <v>641.01</v>
      </c>
      <c r="F38" s="82">
        <v>0.29</v>
      </c>
      <c r="G38" s="82">
        <v>0.9046288728713989</v>
      </c>
      <c r="H38" s="83">
        <v>18</v>
      </c>
      <c r="I38" s="83" t="s">
        <v>157</v>
      </c>
      <c r="J38" s="83">
        <v>125.70672842929037</v>
      </c>
      <c r="K38" s="83">
        <v>135.29186647202377</v>
      </c>
      <c r="L38" s="85">
        <v>0</v>
      </c>
      <c r="M38" s="85">
        <v>0</v>
      </c>
      <c r="N38" s="89">
        <v>4.73801236908326</v>
      </c>
      <c r="O38" s="89">
        <v>0.025280329755615085</v>
      </c>
      <c r="P38" s="89">
        <v>0.006686498578674439</v>
      </c>
      <c r="Q38" s="89">
        <v>4.73801236908326</v>
      </c>
      <c r="R38" s="84">
        <v>0.44290087590681554</v>
      </c>
      <c r="S38" s="84">
        <v>0</v>
      </c>
      <c r="T38" s="84">
        <v>0.059574428086036135</v>
      </c>
      <c r="U38" s="84">
        <v>0.5024753039928517</v>
      </c>
      <c r="V38" s="84">
        <v>-4.2355370650904085</v>
      </c>
      <c r="W38" s="85">
        <v>0.10605191900123166</v>
      </c>
      <c r="X38" s="85">
        <v>0.17231137994768853</v>
      </c>
      <c r="Y38" s="90">
        <v>0.09084869176149368</v>
      </c>
      <c r="Z38" s="85">
        <v>0.1601034889177129</v>
      </c>
      <c r="AA38" s="84" t="s">
        <v>158</v>
      </c>
      <c r="AB38" s="91" t="s">
        <v>159</v>
      </c>
      <c r="AC38" s="84">
        <v>0</v>
      </c>
      <c r="AD38" s="84">
        <v>0.07152783786170096</v>
      </c>
      <c r="AE38" s="84">
        <v>4.769979403287723</v>
      </c>
      <c r="AF38" s="84">
        <v>0.7341066356115669</v>
      </c>
      <c r="AG38" s="84">
        <v>-4.035872767676157</v>
      </c>
      <c r="AH38" s="85">
        <v>0.1539014267243128</v>
      </c>
      <c r="AI38" s="96" t="s">
        <v>160</v>
      </c>
      <c r="AJ38" s="96" t="s">
        <v>161</v>
      </c>
    </row>
    <row r="39" spans="1:36" ht="67.5">
      <c r="A39" s="88" t="s">
        <v>390</v>
      </c>
      <c r="B39" s="81" t="s">
        <v>445</v>
      </c>
      <c r="C39" s="81" t="s">
        <v>443</v>
      </c>
      <c r="D39" s="81" t="s">
        <v>169</v>
      </c>
      <c r="E39" s="82">
        <v>641.01</v>
      </c>
      <c r="F39" s="82">
        <v>0.29</v>
      </c>
      <c r="G39" s="82">
        <v>0.9046288728713989</v>
      </c>
      <c r="H39" s="83">
        <v>18</v>
      </c>
      <c r="I39" s="83" t="s">
        <v>157</v>
      </c>
      <c r="J39" s="83">
        <v>125.0755155723906</v>
      </c>
      <c r="K39" s="83">
        <v>134.6125236347854</v>
      </c>
      <c r="L39" s="85">
        <v>0</v>
      </c>
      <c r="M39" s="85">
        <v>0</v>
      </c>
      <c r="N39" s="89">
        <v>4.761923478382542</v>
      </c>
      <c r="O39" s="89">
        <v>0.025407910834097023</v>
      </c>
      <c r="P39" s="89">
        <v>0.006720243023789747</v>
      </c>
      <c r="Q39" s="89">
        <v>4.761923478382542</v>
      </c>
      <c r="R39" s="84">
        <v>0.4429008759068153</v>
      </c>
      <c r="S39" s="84">
        <v>0</v>
      </c>
      <c r="T39" s="84">
        <v>0.05957443093894669</v>
      </c>
      <c r="U39" s="84">
        <v>0.5024753068457619</v>
      </c>
      <c r="V39" s="84">
        <v>-4.25944817153678</v>
      </c>
      <c r="W39" s="85">
        <v>0.10551939969779504</v>
      </c>
      <c r="X39" s="85">
        <v>0.17231136877545386</v>
      </c>
      <c r="Y39" s="90">
        <v>0.09039250761270523</v>
      </c>
      <c r="Z39" s="85">
        <v>0.16010347853700707</v>
      </c>
      <c r="AA39" s="84" t="s">
        <v>158</v>
      </c>
      <c r="AB39" s="91" t="s">
        <v>159</v>
      </c>
      <c r="AC39" s="84">
        <v>0</v>
      </c>
      <c r="AD39" s="84">
        <v>0.07152783786170099</v>
      </c>
      <c r="AE39" s="84">
        <v>4.794051839149558</v>
      </c>
      <c r="AF39" s="84">
        <v>0.734106631543206</v>
      </c>
      <c r="AG39" s="84">
        <v>-4.0599452076063525</v>
      </c>
      <c r="AH39" s="85">
        <v>0.1531286386075944</v>
      </c>
      <c r="AI39" s="96" t="s">
        <v>160</v>
      </c>
      <c r="AJ39" s="96" t="s">
        <v>161</v>
      </c>
    </row>
  </sheetData>
  <mergeCells count="4">
    <mergeCell ref="X2:Z2"/>
    <mergeCell ref="AE2:AH2"/>
    <mergeCell ref="AA2:AD2"/>
    <mergeCell ref="A2:W2"/>
  </mergeCells>
  <printOptions/>
  <pageMargins left="0.75" right="0.75" top="1" bottom="1" header="0.5" footer="0.5"/>
  <pageSetup horizontalDpi="600" verticalDpi="600" orientation="landscape" scale="60" r:id="rId3"/>
  <legacyDrawing r:id="rId2"/>
</worksheet>
</file>

<file path=xl/worksheets/sheet2.xml><?xml version="1.0" encoding="utf-8"?>
<worksheet xmlns="http://schemas.openxmlformats.org/spreadsheetml/2006/main" xmlns:r="http://schemas.openxmlformats.org/officeDocument/2006/relationships">
  <sheetPr codeName="Sheet2"/>
  <dimension ref="A2:AL39"/>
  <sheetViews>
    <sheetView tabSelected="1" workbookViewId="0" topLeftCell="A1">
      <selection activeCell="A1" sqref="A1"/>
    </sheetView>
  </sheetViews>
  <sheetFormatPr defaultColWidth="9.140625" defaultRowHeight="12.75"/>
  <cols>
    <col min="1" max="1" width="27.57421875" style="0" customWidth="1"/>
    <col min="2" max="2" width="47.7109375" style="0" customWidth="1"/>
    <col min="3" max="3" width="18.421875" style="0" customWidth="1"/>
    <col min="4" max="4" width="8.421875" style="0" customWidth="1"/>
    <col min="5" max="5" width="11.57421875" style="0" customWidth="1"/>
    <col min="6" max="6" width="10.8515625" style="0" customWidth="1"/>
    <col min="7" max="7" width="11.851562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3.0039062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17.5742187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2.00390625" style="0" customWidth="1"/>
  </cols>
  <sheetData>
    <row r="1" ht="13.5" thickBot="1"/>
    <row r="2" spans="1:36" s="76" customFormat="1" ht="33" customHeight="1" thickBot="1">
      <c r="A2" s="452" t="s">
        <v>111</v>
      </c>
      <c r="B2" s="453"/>
      <c r="C2" s="453"/>
      <c r="D2" s="453"/>
      <c r="E2" s="453"/>
      <c r="F2" s="453"/>
      <c r="G2" s="453"/>
      <c r="H2" s="453"/>
      <c r="I2" s="453"/>
      <c r="J2" s="453"/>
      <c r="K2" s="453"/>
      <c r="L2" s="453"/>
      <c r="M2" s="453"/>
      <c r="N2" s="453"/>
      <c r="O2" s="453"/>
      <c r="P2" s="453"/>
      <c r="Q2" s="453"/>
      <c r="R2" s="453"/>
      <c r="S2" s="453"/>
      <c r="T2" s="453"/>
      <c r="U2" s="453"/>
      <c r="V2" s="453"/>
      <c r="W2" s="454"/>
      <c r="X2" s="452" t="s">
        <v>112</v>
      </c>
      <c r="Y2" s="453"/>
      <c r="Z2" s="454"/>
      <c r="AA2" s="453" t="s">
        <v>113</v>
      </c>
      <c r="AB2" s="453"/>
      <c r="AC2" s="453"/>
      <c r="AD2" s="456"/>
      <c r="AE2" s="455" t="s">
        <v>114</v>
      </c>
      <c r="AF2" s="453"/>
      <c r="AG2" s="453"/>
      <c r="AH2" s="456"/>
      <c r="AI2" s="74"/>
      <c r="AJ2" s="75"/>
    </row>
    <row r="3" spans="1:38" s="80" customFormat="1" ht="79.5" thickBot="1">
      <c r="A3" s="77" t="s">
        <v>115</v>
      </c>
      <c r="B3" s="78" t="s">
        <v>116</v>
      </c>
      <c r="C3" s="78" t="s">
        <v>117</v>
      </c>
      <c r="D3" s="78" t="s">
        <v>118</v>
      </c>
      <c r="E3" s="78" t="s">
        <v>148</v>
      </c>
      <c r="F3" s="78" t="s">
        <v>149</v>
      </c>
      <c r="G3" s="78" t="s">
        <v>150</v>
      </c>
      <c r="H3" s="78" t="s">
        <v>119</v>
      </c>
      <c r="I3" s="78" t="s">
        <v>151</v>
      </c>
      <c r="J3" s="78" t="s">
        <v>120</v>
      </c>
      <c r="K3" s="78" t="s">
        <v>121</v>
      </c>
      <c r="L3" s="78" t="s">
        <v>122</v>
      </c>
      <c r="M3" s="78" t="s">
        <v>123</v>
      </c>
      <c r="N3" s="78" t="s">
        <v>152</v>
      </c>
      <c r="O3" s="78" t="s">
        <v>124</v>
      </c>
      <c r="P3" s="78" t="s">
        <v>153</v>
      </c>
      <c r="Q3" s="78" t="s">
        <v>125</v>
      </c>
      <c r="R3" s="78" t="s">
        <v>126</v>
      </c>
      <c r="S3" s="78" t="s">
        <v>130</v>
      </c>
      <c r="T3" s="78" t="s">
        <v>131</v>
      </c>
      <c r="U3" s="78" t="s">
        <v>132</v>
      </c>
      <c r="V3" s="78" t="s">
        <v>133</v>
      </c>
      <c r="W3" s="78" t="s">
        <v>134</v>
      </c>
      <c r="X3" s="77" t="s">
        <v>135</v>
      </c>
      <c r="Y3" s="77" t="s">
        <v>136</v>
      </c>
      <c r="Z3" s="78" t="s">
        <v>137</v>
      </c>
      <c r="AA3" s="78" t="s">
        <v>138</v>
      </c>
      <c r="AB3" s="78" t="s">
        <v>139</v>
      </c>
      <c r="AC3" s="78" t="s">
        <v>140</v>
      </c>
      <c r="AD3" s="78" t="s">
        <v>141</v>
      </c>
      <c r="AE3" s="78" t="s">
        <v>142</v>
      </c>
      <c r="AF3" s="78" t="s">
        <v>143</v>
      </c>
      <c r="AG3" s="78" t="s">
        <v>144</v>
      </c>
      <c r="AH3" s="79" t="s">
        <v>134</v>
      </c>
      <c r="AI3" s="95" t="s">
        <v>145</v>
      </c>
      <c r="AJ3" s="95" t="s">
        <v>146</v>
      </c>
      <c r="AK3" s="450" t="s">
        <v>61</v>
      </c>
      <c r="AL3" s="76"/>
    </row>
    <row r="4" spans="1:37" ht="67.5">
      <c r="A4" s="88" t="str">
        <f>'CAC and HP Upgrades'!B141</f>
        <v>Post93 Manufactured Home NonSGC HP Upgrade w/PTCS  - Zone 3 Heat - Zone 3 Cool</v>
      </c>
      <c r="B4" s="81" t="str">
        <f>VLOOKUP($A4,LookupTable!$A$3:$D$38,2,0)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4" s="81" t="str">
        <f>VLOOKUP($A4,LookupTable!$A$3:$D$38,3,0)</f>
        <v>Non-Super Good Cents Manufactured Home with existing or proposed central air conditioning system built after 1993</v>
      </c>
      <c r="D4" s="81" t="str">
        <f>VLOOKUP($A4,LookupTable!$A$3:$D$38,4,0)</f>
        <v>Heating Zone 3 - Cooling Zone 3</v>
      </c>
      <c r="E4" s="82">
        <f>'CAC and HP Upgrades'!E141</f>
        <v>900.16</v>
      </c>
      <c r="F4" s="82">
        <f>'CAC and HP Upgrades'!F141</f>
        <v>0.794533569708932</v>
      </c>
      <c r="G4" s="82">
        <f>'CAC and HP Upgrades'!G141</f>
        <v>15.024137496948242</v>
      </c>
      <c r="H4" s="83">
        <f>'CAC and HP Upgrades'!C141</f>
        <v>18</v>
      </c>
      <c r="I4" s="83" t="s">
        <v>157</v>
      </c>
      <c r="J4" s="83">
        <f>'CAC and HP Upgrades'!D141</f>
        <v>6045.522788761569</v>
      </c>
      <c r="K4" s="83">
        <f>'CAC and HP Upgrades'!K141</f>
        <v>6506.493901404639</v>
      </c>
      <c r="L4" s="85">
        <f>'CAC and HP Upgrades'!J141</f>
        <v>0.31713205575942993</v>
      </c>
      <c r="M4" s="85">
        <f>'CAC and HP Upgrades'!L141</f>
        <v>1.4908226357318852</v>
      </c>
      <c r="N4" s="89">
        <f>'CAC and HP Upgrades'!N141/'CAC and HP Upgrades'!K141</f>
        <v>0.1383474426807211</v>
      </c>
      <c r="O4" s="89">
        <f>('CAC and HP Upgrades'!O141/'CAC and HP Upgrades'!$K141)</f>
        <v>0.001455757469631791</v>
      </c>
      <c r="P4" s="89">
        <f>('CAC and HP Upgrades'!P141/'CAC and HP Upgrades'!$K141)</f>
        <v>0.002309098836426296</v>
      </c>
      <c r="Q4" s="89">
        <f>('CAC and HP Upgrades'!N141/'CAC and HP Upgrades'!$K141)</f>
        <v>0.1383474426807211</v>
      </c>
      <c r="R4" s="84">
        <f>'CAC and HP Upgrades'!S141/'CAC and HP Upgrades'!$K141</f>
        <v>0.3842198136215648</v>
      </c>
      <c r="S4" s="84">
        <f>'CAC and HP Upgrades'!T141/'CAC and HP Upgrades'!$K141</f>
        <v>0.008194530279032466</v>
      </c>
      <c r="T4" s="84">
        <f>'CAC and HP Upgrades'!U141/'CAC and HP Upgrades'!$K141</f>
        <v>0.0555256281061814</v>
      </c>
      <c r="U4" s="84">
        <f>'CAC and HP Upgrades'!V141/'CAC and HP Upgrades'!$K141</f>
        <v>0.44756838142959915</v>
      </c>
      <c r="V4" s="84">
        <f aca="true" t="shared" si="0" ref="V4:V30">U4-Q4</f>
        <v>0.309220938748878</v>
      </c>
      <c r="W4" s="85">
        <f aca="true" t="shared" si="1" ref="W4:W30">U4/Q4</f>
        <v>3.2351041172658292</v>
      </c>
      <c r="X4" s="85">
        <f>'CAC and HP Upgrades'!Y141/'CAC and HP Upgrades'!D141</f>
        <v>0.18400232662375535</v>
      </c>
      <c r="Y4" s="90">
        <f>'CAC and HP Upgrades'!M141</f>
        <v>4.665555477142334</v>
      </c>
      <c r="Z4" s="85">
        <f>'CAC and HP Upgrades'!Y141/'CAC and HP Upgrades'!K141</f>
        <v>0.17096615714170066</v>
      </c>
      <c r="AA4" s="84" t="s">
        <v>158</v>
      </c>
      <c r="AB4" s="91" t="s">
        <v>159</v>
      </c>
      <c r="AC4" s="84">
        <f>'CAC and HP Upgrades'!Z141/'CAC and HP Upgrades'!$K141</f>
        <v>0</v>
      </c>
      <c r="AD4" s="84">
        <f>'CAC and HP Upgrades'!AA141/'CAC and HP Upgrades'!$K141</f>
        <v>0</v>
      </c>
      <c r="AE4" s="84">
        <f>'CAC and HP Upgrades'!AC141/'CAC and HP Upgrades'!$K141</f>
        <v>0.1421123028842974</v>
      </c>
      <c r="AF4" s="84">
        <f>'CAC and HP Upgrades'!AB141/'CAC and HP Upgrades'!$K141</f>
        <v>0.6185345397878084</v>
      </c>
      <c r="AG4" s="84">
        <f aca="true" t="shared" si="2" ref="AG4:AG30">AF4-AE4</f>
        <v>0.47642223690351093</v>
      </c>
      <c r="AH4" s="85">
        <f aca="true" t="shared" si="3" ref="AH4:AH30">AF4/AE4</f>
        <v>4.352434850706743</v>
      </c>
      <c r="AI4" s="96" t="s">
        <v>160</v>
      </c>
      <c r="AJ4" s="96" t="s">
        <v>161</v>
      </c>
      <c r="AK4" s="451">
        <f>VLOOKUP(A4,'CAC and HP Upgrades'!$B$141:$R$176,17,0)</f>
        <v>11.920866510433038</v>
      </c>
    </row>
    <row r="5" spans="1:37" ht="67.5">
      <c r="A5" s="88" t="str">
        <f>'CAC and HP Upgrades'!B142</f>
        <v>Post93 Manufactured Home NonSGC HP Upgrade w/PTCS  - Zone 3 Heat - Zone 2 Cool</v>
      </c>
      <c r="B5" s="81" t="str">
        <f>VLOOKUP($A5,LookupTable!$A$3:$D$38,2,0)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5" s="81" t="str">
        <f>VLOOKUP($A5,LookupTable!$A$3:$D$38,3,0)</f>
        <v>Non-Super Good Cents Manufactured Home with existing or proposed central air conditioning system built after 1993</v>
      </c>
      <c r="D5" s="81" t="str">
        <f>VLOOKUP($A5,LookupTable!$A$3:$D$38,4,0)</f>
        <v>Heating Zone 3 - Cooling Zone 2</v>
      </c>
      <c r="E5" s="82">
        <f>'CAC and HP Upgrades'!E142</f>
        <v>900.16</v>
      </c>
      <c r="F5" s="82">
        <f>'CAC and HP Upgrades'!F142</f>
        <v>0.794533569708932</v>
      </c>
      <c r="G5" s="82">
        <f>'CAC and HP Upgrades'!G142</f>
        <v>15.024137496948242</v>
      </c>
      <c r="H5" s="83">
        <f>'CAC and HP Upgrades'!C142</f>
        <v>18</v>
      </c>
      <c r="I5" s="83" t="s">
        <v>157</v>
      </c>
      <c r="J5" s="83">
        <f>'CAC and HP Upgrades'!D142</f>
        <v>5711.151014645784</v>
      </c>
      <c r="K5" s="83">
        <f>'CAC and HP Upgrades'!K142</f>
        <v>6146.626279512524</v>
      </c>
      <c r="L5" s="85">
        <f>'CAC and HP Upgrades'!J142</f>
        <v>0.33569926023483276</v>
      </c>
      <c r="M5" s="85">
        <f>'CAC and HP Upgrades'!L142</f>
        <v>1.4908226357318852</v>
      </c>
      <c r="N5" s="89">
        <f>'CAC and HP Upgrades'!N142/'CAC and HP Upgrades'!K142</f>
        <v>0.14644729501082165</v>
      </c>
      <c r="O5" s="89">
        <f>('CAC and HP Upgrades'!O142/'CAC and HP Upgrades'!$K142)</f>
        <v>0.0015409879610957396</v>
      </c>
      <c r="P5" s="89">
        <f>('CAC and HP Upgrades'!P142/'CAC and HP Upgrades'!$K142)</f>
        <v>0.0024442900566487304</v>
      </c>
      <c r="Q5" s="89">
        <f>('CAC and HP Upgrades'!N142/'CAC and HP Upgrades'!$K142)</f>
        <v>0.14644729501082165</v>
      </c>
      <c r="R5" s="84">
        <f>'CAC and HP Upgrades'!S142/'CAC and HP Upgrades'!$K142</f>
        <v>0.362598061547316</v>
      </c>
      <c r="S5" s="84">
        <f>'CAC and HP Upgrades'!T142/'CAC and HP Upgrades'!$K142</f>
        <v>0.008674296900580216</v>
      </c>
      <c r="T5" s="84">
        <f>'CAC and HP Upgrades'!U142/'CAC and HP Upgrades'!$K142</f>
        <v>0.053469968266142955</v>
      </c>
      <c r="U5" s="84">
        <f>'CAC and HP Upgrades'!V142/'CAC and HP Upgrades'!$K142</f>
        <v>0.42434898055725456</v>
      </c>
      <c r="V5" s="84">
        <f t="shared" si="0"/>
        <v>0.2779016855464329</v>
      </c>
      <c r="W5" s="85">
        <f t="shared" si="1"/>
        <v>2.8976225236928923</v>
      </c>
      <c r="X5" s="85">
        <f>'CAC and HP Upgrades'!Y142/'CAC and HP Upgrades'!D142</f>
        <v>0.18468679382089392</v>
      </c>
      <c r="Y5" s="90">
        <f>'CAC and HP Upgrades'!M142</f>
        <v>4.423903942108154</v>
      </c>
      <c r="Z5" s="85">
        <f>'CAC and HP Upgrades'!Y142/'CAC and HP Upgrades'!K142</f>
        <v>0.17160213130861227</v>
      </c>
      <c r="AA5" s="84" t="s">
        <v>158</v>
      </c>
      <c r="AB5" s="91" t="s">
        <v>159</v>
      </c>
      <c r="AC5" s="84">
        <f>'CAC and HP Upgrades'!Z142/'CAC and HP Upgrades'!$K142</f>
        <v>0</v>
      </c>
      <c r="AD5" s="84">
        <f>'CAC and HP Upgrades'!AA142/'CAC and HP Upgrades'!$K142</f>
        <v>0</v>
      </c>
      <c r="AE5" s="84">
        <f>'CAC and HP Upgrades'!AC142/'CAC and HP Upgrades'!$K142</f>
        <v>0.15043257715427305</v>
      </c>
      <c r="AF5" s="84">
        <f>'CAC and HP Upgrades'!AB142/'CAC and HP Upgrades'!$K142</f>
        <v>0.5959511284095853</v>
      </c>
      <c r="AG5" s="84">
        <f t="shared" si="2"/>
        <v>0.44551855125531226</v>
      </c>
      <c r="AH5" s="85">
        <f t="shared" si="3"/>
        <v>3.9615829209548132</v>
      </c>
      <c r="AI5" s="96" t="s">
        <v>160</v>
      </c>
      <c r="AJ5" s="96" t="s">
        <v>161</v>
      </c>
      <c r="AK5" s="451">
        <f>VLOOKUP(A5,'CAC and HP Upgrades'!$B$141:$R$176,17,0)</f>
        <v>12.618799602005854</v>
      </c>
    </row>
    <row r="6" spans="1:37" ht="67.5">
      <c r="A6" s="88" t="str">
        <f>'CAC and HP Upgrades'!B143</f>
        <v>Post93 Manufactured Home NonSGC HP Upgrade w/PTCS  - Zone 3 Heat - Zone 1 Cool</v>
      </c>
      <c r="B6" s="81" t="str">
        <f>VLOOKUP($A6,LookupTable!$A$3:$D$38,2,0)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6" s="81" t="str">
        <f>VLOOKUP($A6,LookupTable!$A$3:$D$38,3,0)</f>
        <v>Non-Super Good Cents Manufactured Home with existing or proposed central air conditioning system built after 1993</v>
      </c>
      <c r="D6" s="81" t="str">
        <f>VLOOKUP($A6,LookupTable!$A$3:$D$38,4,0)</f>
        <v>Heating Zone 3 - Cooling Zone 1</v>
      </c>
      <c r="E6" s="82">
        <f>'CAC and HP Upgrades'!E143</f>
        <v>900.16</v>
      </c>
      <c r="F6" s="82">
        <f>'CAC and HP Upgrades'!F143</f>
        <v>0.794533569708932</v>
      </c>
      <c r="G6" s="82">
        <f>'CAC and HP Upgrades'!G143</f>
        <v>15.024137496948242</v>
      </c>
      <c r="H6" s="83">
        <f>'CAC and HP Upgrades'!C143</f>
        <v>18</v>
      </c>
      <c r="I6" s="83" t="s">
        <v>157</v>
      </c>
      <c r="J6" s="83">
        <f>'CAC and HP Upgrades'!D143</f>
        <v>5555.529950746838</v>
      </c>
      <c r="K6" s="83">
        <f>'CAC and HP Upgrades'!K143</f>
        <v>5979.139109491284</v>
      </c>
      <c r="L6" s="85">
        <f>'CAC and HP Upgrades'!J143</f>
        <v>0.34510284662246704</v>
      </c>
      <c r="M6" s="85">
        <f>'CAC and HP Upgrades'!L143</f>
        <v>1.4908226357318852</v>
      </c>
      <c r="N6" s="89">
        <f>'CAC and HP Upgrades'!N143/'CAC and HP Upgrades'!K143</f>
        <v>0.1505495650114798</v>
      </c>
      <c r="O6" s="89">
        <f>('CAC and HP Upgrades'!O143/'CAC and HP Upgrades'!$K143)</f>
        <v>0.0015841539935151935</v>
      </c>
      <c r="P6" s="89">
        <f>('CAC and HP Upgrades'!P143/'CAC and HP Upgrades'!$K143)</f>
        <v>0.0025127593156511327</v>
      </c>
      <c r="Q6" s="89">
        <f>('CAC and HP Upgrades'!N143/'CAC and HP Upgrades'!$K143)</f>
        <v>0.1505495650114798</v>
      </c>
      <c r="R6" s="84">
        <f>'CAC and HP Upgrades'!S143/'CAC and HP Upgrades'!$K143</f>
        <v>0.3549998880952208</v>
      </c>
      <c r="S6" s="84">
        <f>'CAC and HP Upgrades'!T143/'CAC and HP Upgrades'!$K143</f>
        <v>0.00891728061666335</v>
      </c>
      <c r="T6" s="84">
        <f>'CAC and HP Upgrades'!U143/'CAC and HP Upgrades'!$K143</f>
        <v>0.052764093697096434</v>
      </c>
      <c r="U6" s="84">
        <f>'CAC and HP Upgrades'!V143/'CAC and HP Upgrades'!$K143</f>
        <v>0.41627690090138697</v>
      </c>
      <c r="V6" s="84">
        <f t="shared" si="0"/>
        <v>0.26572733588990716</v>
      </c>
      <c r="W6" s="85">
        <f t="shared" si="1"/>
        <v>2.765048845339704</v>
      </c>
      <c r="X6" s="85">
        <f>'CAC and HP Upgrades'!Y143/'CAC and HP Upgrades'!D143</f>
        <v>0.18503346998188894</v>
      </c>
      <c r="Y6" s="90">
        <f>'CAC and HP Upgrades'!M143</f>
        <v>4.311436176300049</v>
      </c>
      <c r="Z6" s="85">
        <f>'CAC and HP Upgrades'!Y143/'CAC and HP Upgrades'!K143</f>
        <v>0.17192424620849148</v>
      </c>
      <c r="AA6" s="84" t="s">
        <v>158</v>
      </c>
      <c r="AB6" s="91" t="s">
        <v>159</v>
      </c>
      <c r="AC6" s="84">
        <f>'CAC and HP Upgrades'!Z143/'CAC and HP Upgrades'!$K143</f>
        <v>0</v>
      </c>
      <c r="AD6" s="84">
        <f>'CAC and HP Upgrades'!AA143/'CAC and HP Upgrades'!$K143</f>
        <v>0</v>
      </c>
      <c r="AE6" s="84">
        <f>'CAC and HP Upgrades'!AC143/'CAC and HP Upgrades'!$K143</f>
        <v>0.15464648256192204</v>
      </c>
      <c r="AF6" s="84">
        <f>'CAC and HP Upgrades'!AB143/'CAC and HP Upgrades'!$K143</f>
        <v>0.5882011538842967</v>
      </c>
      <c r="AG6" s="84">
        <f t="shared" si="2"/>
        <v>0.4335546713223747</v>
      </c>
      <c r="AH6" s="85">
        <f t="shared" si="3"/>
        <v>3.8035210639128176</v>
      </c>
      <c r="AI6" s="96" t="s">
        <v>160</v>
      </c>
      <c r="AJ6" s="96" t="s">
        <v>161</v>
      </c>
      <c r="AK6" s="451">
        <f>VLOOKUP(A6,'CAC and HP Upgrades'!$B$141:$R$176,17,0)</f>
        <v>12.972276414587474</v>
      </c>
    </row>
    <row r="7" spans="1:37" ht="67.5">
      <c r="A7" s="88" t="str">
        <f>'CAC and HP Upgrades'!B144</f>
        <v>Post93 Manufactured Home NonSGC HP Upgrade w/PTCS  - Zone 2 Heat - Zone 3 Cool</v>
      </c>
      <c r="B7" s="81" t="str">
        <f>VLOOKUP($A7,LookupTable!$A$3:$D$38,2,0)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7" s="81" t="str">
        <f>VLOOKUP($A7,LookupTable!$A$3:$D$38,3,0)</f>
        <v>Non-Super Good Cents Manufactured Home with existing or proposed central air conditioning system built after 1993</v>
      </c>
      <c r="D7" s="81" t="str">
        <f>VLOOKUP($A7,LookupTable!$A$3:$D$38,4,0)</f>
        <v>Heating Zone 2 - Cooling Zone 3</v>
      </c>
      <c r="E7" s="82">
        <f>'CAC and HP Upgrades'!E144</f>
        <v>900.16</v>
      </c>
      <c r="F7" s="82">
        <f>'CAC and HP Upgrades'!F144</f>
        <v>0.794533569708932</v>
      </c>
      <c r="G7" s="82">
        <f>'CAC and HP Upgrades'!G144</f>
        <v>15.024137496948242</v>
      </c>
      <c r="H7" s="83">
        <f>'CAC and HP Upgrades'!C144</f>
        <v>18</v>
      </c>
      <c r="I7" s="83" t="s">
        <v>157</v>
      </c>
      <c r="J7" s="83">
        <f>'CAC and HP Upgrades'!D144</f>
        <v>4908.366517515091</v>
      </c>
      <c r="K7" s="83">
        <f>'CAC and HP Upgrades'!K144</f>
        <v>5282.629464475616</v>
      </c>
      <c r="L7" s="85">
        <f>'CAC and HP Upgrades'!J144</f>
        <v>0.30835890769958496</v>
      </c>
      <c r="M7" s="85">
        <f>'CAC and HP Upgrades'!L144</f>
        <v>1.1769160248573969</v>
      </c>
      <c r="N7" s="89">
        <f>'CAC and HP Upgrades'!N144/'CAC and HP Upgrades'!K144</f>
        <v>0.17039938124193124</v>
      </c>
      <c r="O7" s="89">
        <f>('CAC and HP Upgrades'!O144/'CAC and HP Upgrades'!$K144)</f>
        <v>0.0017930231832044136</v>
      </c>
      <c r="P7" s="89">
        <f>('CAC and HP Upgrades'!P144/'CAC and HP Upgrades'!$K144)</f>
        <v>0.002844064229373245</v>
      </c>
      <c r="Q7" s="89">
        <f>('CAC and HP Upgrades'!N144/'CAC and HP Upgrades'!$K144)</f>
        <v>0.17039938124193124</v>
      </c>
      <c r="R7" s="84">
        <f>'CAC and HP Upgrades'!S144/'CAC and HP Upgrades'!$K144</f>
        <v>0.38919778277667183</v>
      </c>
      <c r="S7" s="84">
        <f>'CAC and HP Upgrades'!T144/'CAC and HP Upgrades'!$K144</f>
        <v>0.00796783677258286</v>
      </c>
      <c r="T7" s="84">
        <f>'CAC and HP Upgrades'!U144/'CAC and HP Upgrades'!$K144</f>
        <v>0.05597309476602816</v>
      </c>
      <c r="U7" s="84">
        <f>'CAC and HP Upgrades'!V144/'CAC and HP Upgrades'!$K144</f>
        <v>0.4527774034682883</v>
      </c>
      <c r="V7" s="84">
        <f t="shared" si="0"/>
        <v>0.2823780222263571</v>
      </c>
      <c r="W7" s="85">
        <f t="shared" si="1"/>
        <v>2.657154035233495</v>
      </c>
      <c r="X7" s="85">
        <f>'CAC and HP Upgrades'!Y144/'CAC and HP Upgrades'!D144</f>
        <v>0.18367889832086395</v>
      </c>
      <c r="Y7" s="90">
        <f>'CAC and HP Upgrades'!M144</f>
        <v>3.7813117504119873</v>
      </c>
      <c r="Z7" s="85">
        <f>'CAC and HP Upgrades'!Y144/'CAC and HP Upgrades'!K144</f>
        <v>0.1706656430391303</v>
      </c>
      <c r="AA7" s="84" t="s">
        <v>158</v>
      </c>
      <c r="AB7" s="91" t="s">
        <v>159</v>
      </c>
      <c r="AC7" s="84">
        <f>'CAC and HP Upgrades'!Z144/'CAC and HP Upgrades'!$K144</f>
        <v>0</v>
      </c>
      <c r="AD7" s="84">
        <f>'CAC and HP Upgrades'!AA144/'CAC and HP Upgrades'!$K144</f>
        <v>0</v>
      </c>
      <c r="AE7" s="84">
        <f>'CAC and HP Upgrades'!AC144/'CAC and HP Upgrades'!$K144</f>
        <v>0.17503647345499299</v>
      </c>
      <c r="AF7" s="84">
        <f>'CAC and HP Upgrades'!AB144/'CAC and HP Upgrades'!$K144</f>
        <v>0.623443064352574</v>
      </c>
      <c r="AG7" s="84">
        <f t="shared" si="2"/>
        <v>0.44840659089758106</v>
      </c>
      <c r="AH7" s="85">
        <f t="shared" si="3"/>
        <v>3.5617894490594812</v>
      </c>
      <c r="AI7" s="96" t="s">
        <v>160</v>
      </c>
      <c r="AJ7" s="96" t="s">
        <v>161</v>
      </c>
      <c r="AK7" s="451">
        <f>VLOOKUP(A7,'CAC and HP Upgrades'!$B$141:$R$176,17,0)</f>
        <v>14.68265865913628</v>
      </c>
    </row>
    <row r="8" spans="1:37" ht="67.5">
      <c r="A8" s="88" t="str">
        <f>'CAC and HP Upgrades'!B145</f>
        <v>Pre94 Manufactured Home HP Upgrade w/PTCS  - Zone 3 Heat - Zone 3 Cool</v>
      </c>
      <c r="B8" s="81" t="str">
        <f>VLOOKUP($A8,LookupTable!$A$3:$D$38,2,0)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8" s="81" t="str">
        <f>VLOOKUP($A8,LookupTable!$A$3:$D$38,3,0)</f>
        <v>Manufactured Home with existing central air conditioning system built prior to 1994</v>
      </c>
      <c r="D8" s="81" t="str">
        <f>VLOOKUP($A8,LookupTable!$A$3:$D$38,4,0)</f>
        <v>Heating Zone 3 - Cooling Zone 3</v>
      </c>
      <c r="E8" s="82">
        <f>'CAC and HP Upgrades'!E145</f>
        <v>900.16</v>
      </c>
      <c r="F8" s="82">
        <f>'CAC and HP Upgrades'!F145</f>
        <v>0.794533569708932</v>
      </c>
      <c r="G8" s="82">
        <f>'CAC and HP Upgrades'!G145</f>
        <v>15.024137496948242</v>
      </c>
      <c r="H8" s="83">
        <f>'CAC and HP Upgrades'!C145</f>
        <v>18</v>
      </c>
      <c r="I8" s="83" t="s">
        <v>157</v>
      </c>
      <c r="J8" s="83">
        <f>'CAC and HP Upgrades'!D145</f>
        <v>4808.293624736696</v>
      </c>
      <c r="K8" s="83">
        <f>'CAC and HP Upgrades'!K145</f>
        <v>5174.926013622869</v>
      </c>
      <c r="L8" s="85">
        <f>'CAC and HP Upgrades'!J145</f>
        <v>0.31041836738586426</v>
      </c>
      <c r="M8" s="85">
        <f>'CAC and HP Upgrades'!L145</f>
        <v>1.1606208198287602</v>
      </c>
      <c r="N8" s="89">
        <f>'CAC and HP Upgrades'!N145/'CAC and HP Upgrades'!K145</f>
        <v>0.17394582834757416</v>
      </c>
      <c r="O8" s="89">
        <f>('CAC and HP Upgrades'!O145/'CAC and HP Upgrades'!$K145)</f>
        <v>0.0018303405832564576</v>
      </c>
      <c r="P8" s="89">
        <f>('CAC and HP Upgrades'!P145/'CAC and HP Upgrades'!$K145)</f>
        <v>0.0029032564827782196</v>
      </c>
      <c r="Q8" s="89">
        <f>('CAC and HP Upgrades'!N145/'CAC and HP Upgrades'!$K145)</f>
        <v>0.17394582834757416</v>
      </c>
      <c r="R8" s="84">
        <f>'CAC and HP Upgrades'!S145/'CAC and HP Upgrades'!$K145</f>
        <v>0.3905431560416191</v>
      </c>
      <c r="S8" s="84">
        <f>'CAC and HP Upgrades'!T145/'CAC and HP Upgrades'!$K145</f>
        <v>0.008021051946065455</v>
      </c>
      <c r="T8" s="84">
        <f>'CAC and HP Upgrades'!U145/'CAC and HP Upgrades'!$K145</f>
        <v>0.056119449959349345</v>
      </c>
      <c r="U8" s="84">
        <f>'CAC and HP Upgrades'!V145/'CAC and HP Upgrades'!$K145</f>
        <v>0.45431993297909157</v>
      </c>
      <c r="V8" s="84">
        <f t="shared" si="0"/>
        <v>0.2803741046315174</v>
      </c>
      <c r="W8" s="85">
        <f t="shared" si="1"/>
        <v>2.611847247473397</v>
      </c>
      <c r="X8" s="85">
        <f>'CAC and HP Upgrades'!Y145/'CAC and HP Upgrades'!D145</f>
        <v>0.1837548559224016</v>
      </c>
      <c r="Y8" s="90">
        <f>'CAC and HP Upgrades'!M145</f>
        <v>3.7057485580444336</v>
      </c>
      <c r="Z8" s="85">
        <f>'CAC and HP Upgrades'!Y145/'CAC and HP Upgrades'!K145</f>
        <v>0.17073621920780638</v>
      </c>
      <c r="AA8" s="84" t="s">
        <v>158</v>
      </c>
      <c r="AB8" s="91" t="s">
        <v>159</v>
      </c>
      <c r="AC8" s="84">
        <f>'CAC and HP Upgrades'!Z145/'CAC and HP Upgrades'!$K145</f>
        <v>0</v>
      </c>
      <c r="AD8" s="84">
        <f>'CAC and HP Upgrades'!AA145/'CAC and HP Upgrades'!$K145</f>
        <v>0</v>
      </c>
      <c r="AE8" s="84">
        <f>'CAC and HP Upgrades'!AC145/'CAC and HP Upgrades'!$K145</f>
        <v>0.17867943031400324</v>
      </c>
      <c r="AF8" s="84">
        <f>'CAC and HP Upgrades'!AB145/'CAC and HP Upgrades'!$K145</f>
        <v>0.6250561604650129</v>
      </c>
      <c r="AG8" s="84">
        <f t="shared" si="2"/>
        <v>0.44637673015100965</v>
      </c>
      <c r="AH8" s="85">
        <f t="shared" si="3"/>
        <v>3.498198753860851</v>
      </c>
      <c r="AI8" s="96" t="s">
        <v>160</v>
      </c>
      <c r="AJ8" s="96" t="s">
        <v>161</v>
      </c>
      <c r="AK8" s="451">
        <f>VLOOKUP(A8,'CAC and HP Upgrades'!$B$141:$R$176,17,0)</f>
        <v>14.988242352723207</v>
      </c>
    </row>
    <row r="9" spans="1:37" ht="67.5">
      <c r="A9" s="88" t="str">
        <f>'CAC and HP Upgrades'!B146</f>
        <v>Pre94 Manufactured Home HP Upgrade w/PTCS  - Zone 3 Heat - Zone 2 Cool</v>
      </c>
      <c r="B9" s="81" t="str">
        <f>VLOOKUP($A9,LookupTable!$A$3:$D$38,2,0)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9" s="81" t="str">
        <f>VLOOKUP($A9,LookupTable!$A$3:$D$38,3,0)</f>
        <v>Manufactured Home with existing central air conditioning system built prior to 1994</v>
      </c>
      <c r="D9" s="81" t="str">
        <f>VLOOKUP($A9,LookupTable!$A$3:$D$38,4,0)</f>
        <v>Heating Zone 3 - Cooling Zone 2</v>
      </c>
      <c r="E9" s="82">
        <f>'CAC and HP Upgrades'!E146</f>
        <v>900.16</v>
      </c>
      <c r="F9" s="82">
        <f>'CAC and HP Upgrades'!F146</f>
        <v>0.794533569708932</v>
      </c>
      <c r="G9" s="82">
        <f>'CAC and HP Upgrades'!G146</f>
        <v>15.024137496948242</v>
      </c>
      <c r="H9" s="83">
        <f>'CAC and HP Upgrades'!C146</f>
        <v>18</v>
      </c>
      <c r="I9" s="83" t="s">
        <v>157</v>
      </c>
      <c r="J9" s="83">
        <f>'CAC and HP Upgrades'!D146</f>
        <v>4581.594365827886</v>
      </c>
      <c r="K9" s="83">
        <f>'CAC and HP Upgrades'!K146</f>
        <v>4930.940936222262</v>
      </c>
      <c r="L9" s="85">
        <f>'CAC and HP Upgrades'!J146</f>
        <v>0.3257780075073242</v>
      </c>
      <c r="M9" s="85">
        <f>'CAC and HP Upgrades'!L146</f>
        <v>1.1606208198287602</v>
      </c>
      <c r="N9" s="89">
        <f>'CAC and HP Upgrades'!N146/'CAC and HP Upgrades'!K146</f>
        <v>0.18255274271581035</v>
      </c>
      <c r="O9" s="89">
        <f>('CAC and HP Upgrades'!O146/'CAC and HP Upgrades'!$K146)</f>
        <v>0.0019209066222034648</v>
      </c>
      <c r="P9" s="89">
        <f>('CAC and HP Upgrades'!P146/'CAC and HP Upgrades'!$K146)</f>
        <v>0.003046910861694213</v>
      </c>
      <c r="Q9" s="89">
        <f>('CAC and HP Upgrades'!N146/'CAC and HP Upgrades'!$K146)</f>
        <v>0.18255274271581035</v>
      </c>
      <c r="R9" s="84">
        <f>'CAC and HP Upgrades'!S146/'CAC and HP Upgrades'!$K146</f>
        <v>0.3698173882466761</v>
      </c>
      <c r="S9" s="84">
        <f>'CAC and HP Upgrades'!T146/'CAC and HP Upgrades'!$K146</f>
        <v>0.008417937044712446</v>
      </c>
      <c r="T9" s="84">
        <f>'CAC and HP Upgrades'!U146/'CAC and HP Upgrades'!$K146</f>
        <v>0.054134988704462844</v>
      </c>
      <c r="U9" s="84">
        <f>'CAC and HP Upgrades'!V146/'CAC and HP Upgrades'!$K146</f>
        <v>0.43198859059968825</v>
      </c>
      <c r="V9" s="84">
        <f t="shared" si="0"/>
        <v>0.2494358478838779</v>
      </c>
      <c r="W9" s="85">
        <f t="shared" si="1"/>
        <v>2.366376884691281</v>
      </c>
      <c r="X9" s="85">
        <f>'CAC and HP Upgrades'!Y146/'CAC and HP Upgrades'!D146</f>
        <v>0.18432108314384996</v>
      </c>
      <c r="Y9" s="90">
        <f>'CAC and HP Upgrades'!M146</f>
        <v>3.541912078857422</v>
      </c>
      <c r="Z9" s="85">
        <f>'CAC and HP Upgrades'!Y146/'CAC and HP Upgrades'!K146</f>
        <v>0.17126233044724734</v>
      </c>
      <c r="AA9" s="84" t="s">
        <v>158</v>
      </c>
      <c r="AB9" s="91" t="s">
        <v>159</v>
      </c>
      <c r="AC9" s="84">
        <f>'CAC and HP Upgrades'!Z146/'CAC and HP Upgrades'!$K146</f>
        <v>0</v>
      </c>
      <c r="AD9" s="84">
        <f>'CAC and HP Upgrades'!AA146/'CAC and HP Upgrades'!$K146</f>
        <v>0</v>
      </c>
      <c r="AE9" s="84">
        <f>'CAC and HP Upgrades'!AC146/'CAC and HP Upgrades'!$K146</f>
        <v>0.18752056534257608</v>
      </c>
      <c r="AF9" s="84">
        <f>'CAC and HP Upgrades'!AB146/'CAC and HP Upgrades'!$K146</f>
        <v>0.6032509342611238</v>
      </c>
      <c r="AG9" s="84">
        <f t="shared" si="2"/>
        <v>0.41573036891854764</v>
      </c>
      <c r="AH9" s="85">
        <f t="shared" si="3"/>
        <v>3.216985471215178</v>
      </c>
      <c r="AI9" s="96" t="s">
        <v>160</v>
      </c>
      <c r="AJ9" s="96" t="s">
        <v>161</v>
      </c>
      <c r="AK9" s="451">
        <f>VLOOKUP(A9,'CAC and HP Upgrades'!$B$141:$R$176,17,0)</f>
        <v>15.729867027978369</v>
      </c>
    </row>
    <row r="10" spans="1:37" ht="67.5">
      <c r="A10" s="88" t="str">
        <f>'CAC and HP Upgrades'!B147</f>
        <v>Post93 Manufactured Home NonSGC HP Upgrade w/PTCS  - Zone 2 Heat - Zone 2 Cool</v>
      </c>
      <c r="B10" s="81" t="str">
        <f>VLOOKUP($A10,LookupTable!$A$3:$D$38,2,0)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10" s="81" t="str">
        <f>VLOOKUP($A10,LookupTable!$A$3:$D$38,3,0)</f>
        <v>Non-Super Good Cents Manufactured Home with existing or proposed central air conditioning system built after 1993</v>
      </c>
      <c r="D10" s="81" t="str">
        <f>VLOOKUP($A10,LookupTable!$A$3:$D$38,4,0)</f>
        <v>Heating Zone 2 - Cooling Zone 2</v>
      </c>
      <c r="E10" s="82">
        <f>'CAC and HP Upgrades'!E147</f>
        <v>900.16</v>
      </c>
      <c r="F10" s="82">
        <f>'CAC and HP Upgrades'!F147</f>
        <v>0.794533569708932</v>
      </c>
      <c r="G10" s="82">
        <f>'CAC and HP Upgrades'!G147</f>
        <v>15.024137496948242</v>
      </c>
      <c r="H10" s="83">
        <f>'CAC and HP Upgrades'!C147</f>
        <v>18</v>
      </c>
      <c r="I10" s="83" t="s">
        <v>157</v>
      </c>
      <c r="J10" s="83">
        <f>'CAC and HP Upgrades'!D147</f>
        <v>4573.994743399306</v>
      </c>
      <c r="K10" s="83">
        <f>'CAC and HP Upgrades'!K147</f>
        <v>4922.761842583502</v>
      </c>
      <c r="L10" s="85">
        <f>'CAC and HP Upgrades'!J147</f>
        <v>0.33090081810951233</v>
      </c>
      <c r="M10" s="85">
        <f>'CAC and HP Upgrades'!L147</f>
        <v>1.1769160248573969</v>
      </c>
      <c r="N10" s="89">
        <f>'CAC and HP Upgrades'!N147/'CAC and HP Upgrades'!K147</f>
        <v>0.18285605131054455</v>
      </c>
      <c r="O10" s="89">
        <f>('CAC and HP Upgrades'!O147/'CAC and HP Upgrades'!$K147)</f>
        <v>0.0019240981792270871</v>
      </c>
      <c r="P10" s="89">
        <f>('CAC and HP Upgrades'!P147/'CAC and HP Upgrades'!$K147)</f>
        <v>0.003051973257569467</v>
      </c>
      <c r="Q10" s="89">
        <f>('CAC and HP Upgrades'!N147/'CAC and HP Upgrades'!$K147)</f>
        <v>0.18285605131054455</v>
      </c>
      <c r="R10" s="84">
        <f>'CAC and HP Upgrades'!S147/'CAC and HP Upgrades'!$K147</f>
        <v>0.36256447737220526</v>
      </c>
      <c r="S10" s="84">
        <f>'CAC and HP Upgrades'!T147/'CAC and HP Upgrades'!$K147</f>
        <v>0.008550307865571816</v>
      </c>
      <c r="T10" s="84">
        <f>'CAC and HP Upgrades'!U147/'CAC and HP Upgrades'!$K147</f>
        <v>0.05343908145588657</v>
      </c>
      <c r="U10" s="84">
        <f>'CAC and HP Upgrades'!V147/'CAC and HP Upgrades'!$K147</f>
        <v>0.4241661430159391</v>
      </c>
      <c r="V10" s="84">
        <f t="shared" si="0"/>
        <v>0.24131009170539452</v>
      </c>
      <c r="W10" s="85">
        <f t="shared" si="1"/>
        <v>2.3196724416605576</v>
      </c>
      <c r="X10" s="85">
        <f>'CAC and HP Upgrades'!Y147/'CAC and HP Upgrades'!D147</f>
        <v>0.184509903050949</v>
      </c>
      <c r="Y10" s="90">
        <f>'CAC and HP Upgrades'!M147</f>
        <v>3.5396599769592285</v>
      </c>
      <c r="Z10" s="85">
        <f>'CAC and HP Upgrades'!Y147/'CAC and HP Upgrades'!K147</f>
        <v>0.17143777286963907</v>
      </c>
      <c r="AA10" s="84" t="s">
        <v>158</v>
      </c>
      <c r="AB10" s="91" t="s">
        <v>159</v>
      </c>
      <c r="AC10" s="84">
        <f>'CAC and HP Upgrades'!Z147/'CAC and HP Upgrades'!$K147</f>
        <v>0</v>
      </c>
      <c r="AD10" s="84">
        <f>'CAC and HP Upgrades'!AA147/'CAC and HP Upgrades'!$K147</f>
        <v>0</v>
      </c>
      <c r="AE10" s="84">
        <f>'CAC and HP Upgrades'!AC147/'CAC and HP Upgrades'!$K147</f>
        <v>0.18783212789875395</v>
      </c>
      <c r="AF10" s="84">
        <f>'CAC and HP Upgrades'!AB147/'CAC and HP Upgrades'!$K147</f>
        <v>0.5956038920912953</v>
      </c>
      <c r="AG10" s="84">
        <f t="shared" si="2"/>
        <v>0.40777176419254135</v>
      </c>
      <c r="AH10" s="85">
        <f t="shared" si="3"/>
        <v>3.170937255272645</v>
      </c>
      <c r="AI10" s="96" t="s">
        <v>160</v>
      </c>
      <c r="AJ10" s="96" t="s">
        <v>161</v>
      </c>
      <c r="AK10" s="451">
        <f>VLOOKUP(A10,'CAC and HP Upgrades'!$B$141:$R$176,17,0)</f>
        <v>15.75600196187547</v>
      </c>
    </row>
    <row r="11" spans="1:37" ht="67.5">
      <c r="A11" s="88" t="str">
        <f>'CAC and HP Upgrades'!B148</f>
        <v>Pre94 Manufactured Home HP Upgrade w/PTCS  - Zone 3 Heat - Zone 1 Cool</v>
      </c>
      <c r="B11" s="81" t="str">
        <f>VLOOKUP($A11,LookupTable!$A$3:$D$38,2,0)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11" s="81" t="str">
        <f>VLOOKUP($A11,LookupTable!$A$3:$D$38,3,0)</f>
        <v>Manufactured Home with existing central air conditioning system built prior to 1994</v>
      </c>
      <c r="D11" s="81" t="str">
        <f>VLOOKUP($A11,LookupTable!$A$3:$D$38,4,0)</f>
        <v>Heating Zone 3 - Cooling Zone 1</v>
      </c>
      <c r="E11" s="82">
        <f>'CAC and HP Upgrades'!E148</f>
        <v>900.16</v>
      </c>
      <c r="F11" s="82">
        <f>'CAC and HP Upgrades'!F148</f>
        <v>0.794533569708932</v>
      </c>
      <c r="G11" s="82">
        <f>'CAC and HP Upgrades'!G148</f>
        <v>15.024137496948242</v>
      </c>
      <c r="H11" s="83">
        <f>'CAC and HP Upgrades'!C148</f>
        <v>18</v>
      </c>
      <c r="I11" s="83" t="s">
        <v>157</v>
      </c>
      <c r="J11" s="83">
        <f>'CAC and HP Upgrades'!D148</f>
        <v>4412.025049806351</v>
      </c>
      <c r="K11" s="83">
        <f>'CAC and HP Upgrades'!K148</f>
        <v>4748.441959854085</v>
      </c>
      <c r="L11" s="85">
        <f>'CAC and HP Upgrades'!J148</f>
        <v>0.3382987678050995</v>
      </c>
      <c r="M11" s="85">
        <f>'CAC and HP Upgrades'!L148</f>
        <v>1.1606208198287602</v>
      </c>
      <c r="N11" s="89">
        <f>'CAC and HP Upgrades'!N148/'CAC and HP Upgrades'!K148</f>
        <v>0.189568873261473</v>
      </c>
      <c r="O11" s="89">
        <f>('CAC and HP Upgrades'!O148/'CAC and HP Upgrades'!$K148)</f>
        <v>0.001994733678575816</v>
      </c>
      <c r="P11" s="89">
        <f>('CAC and HP Upgrades'!P148/'CAC and HP Upgrades'!$K148)</f>
        <v>0.0031640141385259595</v>
      </c>
      <c r="Q11" s="89">
        <f>('CAC and HP Upgrades'!N148/'CAC and HP Upgrades'!$K148)</f>
        <v>0.189568873261473</v>
      </c>
      <c r="R11" s="84">
        <f>'CAC and HP Upgrades'!S148/'CAC and HP Upgrades'!$K148</f>
        <v>0.35943153993953697</v>
      </c>
      <c r="S11" s="84">
        <f>'CAC and HP Upgrades'!T148/'CAC and HP Upgrades'!$K148</f>
        <v>0.008741467353554841</v>
      </c>
      <c r="T11" s="84">
        <f>'CAC and HP Upgrades'!U148/'CAC and HP Upgrades'!$K148</f>
        <v>0.05316822858804655</v>
      </c>
      <c r="U11" s="84">
        <f>'CAC and HP Upgrades'!V148/'CAC and HP Upgrades'!$K148</f>
        <v>0.42094484515545816</v>
      </c>
      <c r="V11" s="84">
        <f t="shared" si="0"/>
        <v>0.23137597189398515</v>
      </c>
      <c r="W11" s="85">
        <f t="shared" si="1"/>
        <v>2.2205377808773883</v>
      </c>
      <c r="X11" s="85">
        <f>'CAC and HP Upgrades'!Y148/'CAC and HP Upgrades'!D148</f>
        <v>0.18478265123878643</v>
      </c>
      <c r="Y11" s="90">
        <f>'CAC and HP Upgrades'!M148</f>
        <v>3.4193637371063232</v>
      </c>
      <c r="Z11" s="85">
        <f>'CAC and HP Upgrades'!Y148/'CAC and HP Upgrades'!K148</f>
        <v>0.17169119743441247</v>
      </c>
      <c r="AA11" s="84" t="s">
        <v>158</v>
      </c>
      <c r="AB11" s="91" t="s">
        <v>159</v>
      </c>
      <c r="AC11" s="84">
        <f>'CAC and HP Upgrades'!Z148/'CAC and HP Upgrades'!$K148</f>
        <v>0</v>
      </c>
      <c r="AD11" s="84">
        <f>'CAC and HP Upgrades'!AA148/'CAC and HP Upgrades'!$K148</f>
        <v>0</v>
      </c>
      <c r="AE11" s="84">
        <f>'CAC and HP Upgrades'!AC148/'CAC and HP Upgrades'!$K148</f>
        <v>0.19472762641910096</v>
      </c>
      <c r="AF11" s="84">
        <f>'CAC and HP Upgrades'!AB148/'CAC and HP Upgrades'!$K148</f>
        <v>0.5926360528742989</v>
      </c>
      <c r="AG11" s="84">
        <f t="shared" si="2"/>
        <v>0.3979084264551979</v>
      </c>
      <c r="AH11" s="85">
        <f t="shared" si="3"/>
        <v>3.0434102431814307</v>
      </c>
      <c r="AI11" s="96" t="s">
        <v>160</v>
      </c>
      <c r="AJ11" s="96" t="s">
        <v>161</v>
      </c>
      <c r="AK11" s="451">
        <f>VLOOKUP(A11,'CAC and HP Upgrades'!$B$141:$R$176,17,0)</f>
        <v>16.334419985618776</v>
      </c>
    </row>
    <row r="12" spans="1:37" ht="67.5">
      <c r="A12" s="88" t="str">
        <f>'CAC and HP Upgrades'!B149</f>
        <v>Post93 Manufactured Home NonSGC HP Upgrade w/PTCS  - Zone 2 Heat - Zone 1 Cool</v>
      </c>
      <c r="B12" s="81" t="str">
        <f>VLOOKUP($A12,LookupTable!$A$3:$D$38,2,0)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12" s="81" t="str">
        <f>VLOOKUP($A12,LookupTable!$A$3:$D$38,3,0)</f>
        <v>Non-Super Good Cents Manufactured Home with existing or proposed central air conditioning system built after 1993</v>
      </c>
      <c r="D12" s="81" t="str">
        <f>VLOOKUP($A12,LookupTable!$A$3:$D$38,4,0)</f>
        <v>Heating Zone 2 - Cooling Zone 1</v>
      </c>
      <c r="E12" s="82">
        <f>'CAC and HP Upgrades'!E149</f>
        <v>900.16</v>
      </c>
      <c r="F12" s="82">
        <f>'CAC and HP Upgrades'!F149</f>
        <v>0.794533569708932</v>
      </c>
      <c r="G12" s="82">
        <f>'CAC and HP Upgrades'!G149</f>
        <v>15.024137496948242</v>
      </c>
      <c r="H12" s="83">
        <f>'CAC and HP Upgrades'!C149</f>
        <v>18</v>
      </c>
      <c r="I12" s="83" t="s">
        <v>157</v>
      </c>
      <c r="J12" s="83">
        <f>'CAC and HP Upgrades'!D149</f>
        <v>4418.37367950036</v>
      </c>
      <c r="K12" s="83">
        <f>'CAC and HP Upgrades'!K149</f>
        <v>4755.274672562262</v>
      </c>
      <c r="L12" s="85">
        <f>'CAC and HP Upgrades'!J149</f>
        <v>0.34255558252334595</v>
      </c>
      <c r="M12" s="85">
        <f>'CAC and HP Upgrades'!L149</f>
        <v>1.1769160248573969</v>
      </c>
      <c r="N12" s="89">
        <f>'CAC and HP Upgrades'!N149/'CAC and HP Upgrades'!K149</f>
        <v>0.18929648738713392</v>
      </c>
      <c r="O12" s="89">
        <f>('CAC and HP Upgrades'!O149/'CAC and HP Upgrades'!$K149)</f>
        <v>0.001991867505096148</v>
      </c>
      <c r="P12" s="89">
        <f>('CAC and HP Upgrades'!P149/'CAC and HP Upgrades'!$K149)</f>
        <v>0.0031594678607393374</v>
      </c>
      <c r="Q12" s="89">
        <f>('CAC and HP Upgrades'!N149/'CAC and HP Upgrades'!$K149)</f>
        <v>0.18929648738713392</v>
      </c>
      <c r="R12" s="84">
        <f>'CAC and HP Upgrades'!S149/'CAC and HP Upgrades'!$K149</f>
        <v>0.35300958010649464</v>
      </c>
      <c r="S12" s="84">
        <f>'CAC and HP Upgrades'!T149/'CAC and HP Upgrades'!$K149</f>
        <v>0.008851461209137422</v>
      </c>
      <c r="T12" s="84">
        <f>'CAC and HP Upgrades'!U149/'CAC and HP Upgrades'!$K149</f>
        <v>0.05255045137270439</v>
      </c>
      <c r="U12" s="84">
        <f>'CAC and HP Upgrades'!V149/'CAC and HP Upgrades'!$K149</f>
        <v>0.4140101134628296</v>
      </c>
      <c r="V12" s="84">
        <f t="shared" si="0"/>
        <v>0.2247136260756957</v>
      </c>
      <c r="W12" s="85">
        <f t="shared" si="1"/>
        <v>2.187098763307369</v>
      </c>
      <c r="X12" s="85">
        <f>'CAC and HP Upgrades'!Y149/'CAC and HP Upgrades'!D149</f>
        <v>0.18493954525262607</v>
      </c>
      <c r="Y12" s="90">
        <f>'CAC and HP Upgrades'!M149</f>
        <v>3.427192211151123</v>
      </c>
      <c r="Z12" s="85">
        <f>'CAC and HP Upgrades'!Y149/'CAC and HP Upgrades'!K149</f>
        <v>0.17183697584448415</v>
      </c>
      <c r="AA12" s="84" t="s">
        <v>158</v>
      </c>
      <c r="AB12" s="91" t="s">
        <v>159</v>
      </c>
      <c r="AC12" s="84">
        <f>'CAC and HP Upgrades'!Z149/'CAC and HP Upgrades'!$K149</f>
        <v>0</v>
      </c>
      <c r="AD12" s="84">
        <f>'CAC and HP Upgrades'!AA149/'CAC and HP Upgrades'!$K149</f>
        <v>0</v>
      </c>
      <c r="AE12" s="84">
        <f>'CAC and HP Upgrades'!AC149/'CAC and HP Upgrades'!$K149</f>
        <v>0.19444782808582195</v>
      </c>
      <c r="AF12" s="84">
        <f>'CAC and HP Upgrades'!AB149/'CAC and HP Upgrades'!$K149</f>
        <v>0.5858470774791557</v>
      </c>
      <c r="AG12" s="84">
        <f t="shared" si="2"/>
        <v>0.3913992493933337</v>
      </c>
      <c r="AH12" s="85">
        <f t="shared" si="3"/>
        <v>3.0128753982306495</v>
      </c>
      <c r="AI12" s="96" t="s">
        <v>160</v>
      </c>
      <c r="AJ12" s="96" t="s">
        <v>161</v>
      </c>
      <c r="AK12" s="451">
        <f>VLOOKUP(A12,'CAC and HP Upgrades'!$B$141:$R$176,17,0)</f>
        <v>16.310949543488395</v>
      </c>
    </row>
    <row r="13" spans="1:37" ht="67.5">
      <c r="A13" s="88" t="str">
        <f>'CAC and HP Upgrades'!B150</f>
        <v>SGC Manufactured Home HP Upgrade w/PTCS  - Zone 3 Heat - Zone 3 Cool</v>
      </c>
      <c r="B13" s="81" t="str">
        <f>VLOOKUP($A13,LookupTable!$A$3:$D$38,2,0)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13" s="81" t="str">
        <f>VLOOKUP($A13,LookupTable!$A$3:$D$38,3,0)</f>
        <v>Super Good Cents Manufactured Home with existing or proposed central air conditioning system</v>
      </c>
      <c r="D13" s="81" t="str">
        <f>VLOOKUP($A13,LookupTable!$A$3:$D$38,4,0)</f>
        <v>Heating Zone 3 - Cooling Zone 3</v>
      </c>
      <c r="E13" s="82">
        <f>'CAC and HP Upgrades'!E150</f>
        <v>900.16</v>
      </c>
      <c r="F13" s="82">
        <f>'CAC and HP Upgrades'!F150</f>
        <v>0.794533569708932</v>
      </c>
      <c r="G13" s="82">
        <f>'CAC and HP Upgrades'!G150</f>
        <v>15.024137496948242</v>
      </c>
      <c r="H13" s="83">
        <f>'CAC and HP Upgrades'!C150</f>
        <v>18</v>
      </c>
      <c r="I13" s="83" t="s">
        <v>157</v>
      </c>
      <c r="J13" s="83">
        <f>'CAC and HP Upgrades'!D150</f>
        <v>4040.6322884995343</v>
      </c>
      <c r="K13" s="83">
        <f>'CAC and HP Upgrades'!K150</f>
        <v>4348.730500497623</v>
      </c>
      <c r="L13" s="85">
        <f>'CAC and HP Upgrades'!J150</f>
        <v>0.3147820830345154</v>
      </c>
      <c r="M13" s="85">
        <f>'CAC and HP Upgrades'!L150</f>
        <v>0.9890342371601737</v>
      </c>
      <c r="N13" s="89">
        <f>'CAC and HP Upgrades'!N150/'CAC and HP Upgrades'!K150</f>
        <v>0.20699300450419614</v>
      </c>
      <c r="O13" s="89">
        <f>('CAC and HP Upgrades'!O150/'CAC and HP Upgrades'!$K150)</f>
        <v>0.002178078659277606</v>
      </c>
      <c r="P13" s="89">
        <f>('CAC and HP Upgrades'!P150/'CAC and HP Upgrades'!$K150)</f>
        <v>0.003454832966823085</v>
      </c>
      <c r="Q13" s="89">
        <f>('CAC and HP Upgrades'!N150/'CAC and HP Upgrades'!$K150)</f>
        <v>0.20699300450419614</v>
      </c>
      <c r="R13" s="84">
        <f>'CAC and HP Upgrades'!S150/'CAC and HP Upgrades'!$K150</f>
        <v>0.3864331407462042</v>
      </c>
      <c r="S13" s="84">
        <f>'CAC and HP Upgrades'!T150/'CAC and HP Upgrades'!$K150</f>
        <v>0.008133807884804615</v>
      </c>
      <c r="T13" s="84">
        <f>'CAC and HP Upgrades'!U150/'CAC and HP Upgrades'!$K150</f>
        <v>0.05573348090389363</v>
      </c>
      <c r="U13" s="84">
        <f>'CAC and HP Upgrades'!V150/'CAC and HP Upgrades'!$K150</f>
        <v>0.4499315945537495</v>
      </c>
      <c r="V13" s="84">
        <f t="shared" si="0"/>
        <v>0.24293859004955334</v>
      </c>
      <c r="W13" s="85">
        <f t="shared" si="1"/>
        <v>2.1736560403645355</v>
      </c>
      <c r="X13" s="85">
        <f>'CAC and HP Upgrades'!Y150/'CAC and HP Upgrades'!D150</f>
        <v>0.1839157367456893</v>
      </c>
      <c r="Y13" s="90">
        <f>'CAC and HP Upgrades'!M150</f>
        <v>3.1168384552001953</v>
      </c>
      <c r="Z13" s="85">
        <f>'CAC and HP Upgrades'!Y150/'CAC and HP Upgrades'!K150</f>
        <v>0.17088570197044306</v>
      </c>
      <c r="AA13" s="84" t="s">
        <v>158</v>
      </c>
      <c r="AB13" s="91" t="s">
        <v>159</v>
      </c>
      <c r="AC13" s="84">
        <f>'CAC and HP Upgrades'!Z150/'CAC and HP Upgrades'!$K150</f>
        <v>0</v>
      </c>
      <c r="AD13" s="84">
        <f>'CAC and HP Upgrades'!AA150/'CAC and HP Upgrades'!$K150</f>
        <v>0</v>
      </c>
      <c r="AE13" s="84">
        <f>'CAC and HP Upgrades'!AC150/'CAC and HP Upgrades'!$K150</f>
        <v>0.21262592196169489</v>
      </c>
      <c r="AF13" s="84">
        <f>'CAC and HP Upgrades'!AB150/'CAC and HP Upgrades'!$K150</f>
        <v>0.6208172912841614</v>
      </c>
      <c r="AG13" s="84">
        <f t="shared" si="2"/>
        <v>0.4081913693224665</v>
      </c>
      <c r="AH13" s="85">
        <f t="shared" si="3"/>
        <v>2.9197629600214188</v>
      </c>
      <c r="AI13" s="96" t="s">
        <v>160</v>
      </c>
      <c r="AJ13" s="96" t="s">
        <v>161</v>
      </c>
      <c r="AK13" s="451">
        <f>VLOOKUP(A13,'CAC and HP Upgrades'!$B$141:$R$176,17,0)</f>
        <v>17.835790293446752</v>
      </c>
    </row>
    <row r="14" spans="1:37" ht="67.5">
      <c r="A14" s="88" t="str">
        <f>'CAC and HP Upgrades'!B151</f>
        <v>Pre94 Manufactured Home HP Upgrade w/PTCS  - Zone 2 Heat - Zone 3 Cool</v>
      </c>
      <c r="B14" s="81" t="str">
        <f>VLOOKUP($A14,LookupTable!$A$3:$D$38,2,0)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14" s="81" t="str">
        <f>VLOOKUP($A14,LookupTable!$A$3:$D$38,3,0)</f>
        <v>Manufactured Home with existing central air conditioning system built prior to 1994</v>
      </c>
      <c r="D14" s="81" t="str">
        <f>VLOOKUP($A14,LookupTable!$A$3:$D$38,4,0)</f>
        <v>Heating Zone 2 - Cooling Zone 3</v>
      </c>
      <c r="E14" s="82">
        <f>'CAC and HP Upgrades'!E151</f>
        <v>900.16</v>
      </c>
      <c r="F14" s="82">
        <f>'CAC and HP Upgrades'!F151</f>
        <v>0.794533569708932</v>
      </c>
      <c r="G14" s="82">
        <f>'CAC and HP Upgrades'!G151</f>
        <v>15.024137496948242</v>
      </c>
      <c r="H14" s="83">
        <f>'CAC and HP Upgrades'!C151</f>
        <v>18</v>
      </c>
      <c r="I14" s="83" t="s">
        <v>157</v>
      </c>
      <c r="J14" s="83">
        <f>'CAC and HP Upgrades'!D151</f>
        <v>3942.7850736909577</v>
      </c>
      <c r="K14" s="83">
        <f>'CAC and HP Upgrades'!K151</f>
        <v>4243.422435559893</v>
      </c>
      <c r="L14" s="85">
        <f>'CAC and HP Upgrades'!J151</f>
        <v>0.30063194036483765</v>
      </c>
      <c r="M14" s="85">
        <f>'CAC and HP Upgrades'!L151</f>
        <v>0.9217012774479676</v>
      </c>
      <c r="N14" s="89">
        <f>'CAC and HP Upgrades'!N151/'CAC and HP Upgrades'!K151</f>
        <v>0.21212990357352193</v>
      </c>
      <c r="O14" s="89">
        <f>('CAC and HP Upgrades'!O151/'CAC and HP Upgrades'!$K151)</f>
        <v>0.0022321315499275155</v>
      </c>
      <c r="P14" s="89">
        <f>('CAC and HP Upgrades'!P151/'CAC and HP Upgrades'!$K151)</f>
        <v>0.0035405707833954794</v>
      </c>
      <c r="Q14" s="89">
        <f>('CAC and HP Upgrades'!N151/'CAC and HP Upgrades'!$K151)</f>
        <v>0.21212990357352193</v>
      </c>
      <c r="R14" s="84">
        <f>'CAC and HP Upgrades'!S151/'CAC and HP Upgrades'!$K151</f>
        <v>0.39655782160198955</v>
      </c>
      <c r="S14" s="84">
        <f>'CAC and HP Upgrades'!T151/'CAC and HP Upgrades'!$K151</f>
        <v>0.0077681753938802734</v>
      </c>
      <c r="T14" s="84">
        <f>'CAC and HP Upgrades'!U151/'CAC and HP Upgrades'!$K151</f>
        <v>0.0566647745622968</v>
      </c>
      <c r="U14" s="84">
        <f>'CAC and HP Upgrades'!V151/'CAC and HP Upgrades'!$K151</f>
        <v>0.46063851349896606</v>
      </c>
      <c r="V14" s="84">
        <f t="shared" si="0"/>
        <v>0.24850860992544413</v>
      </c>
      <c r="W14" s="85">
        <f t="shared" si="1"/>
        <v>2.1714925889235306</v>
      </c>
      <c r="X14" s="85">
        <f>'CAC and HP Upgrades'!Y151/'CAC and HP Upgrades'!D151</f>
        <v>0.18339409391566205</v>
      </c>
      <c r="Y14" s="90">
        <f>'CAC and HP Upgrades'!M151</f>
        <v>3.032735586166382</v>
      </c>
      <c r="Z14" s="85">
        <f>'CAC and HP Upgrades'!Y151/'CAC and HP Upgrades'!K151</f>
        <v>0.17040101641408786</v>
      </c>
      <c r="AA14" s="84" t="s">
        <v>158</v>
      </c>
      <c r="AB14" s="91" t="s">
        <v>159</v>
      </c>
      <c r="AC14" s="84">
        <f>'CAC and HP Upgrades'!Z151/'CAC and HP Upgrades'!$K151</f>
        <v>0</v>
      </c>
      <c r="AD14" s="84">
        <f>'CAC and HP Upgrades'!AA151/'CAC and HP Upgrades'!$K151</f>
        <v>0</v>
      </c>
      <c r="AE14" s="84">
        <f>'CAC and HP Upgrades'!AC151/'CAC and HP Upgrades'!$K151</f>
        <v>0.2179026118829595</v>
      </c>
      <c r="AF14" s="84">
        <f>'CAC and HP Upgrades'!AB151/'CAC and HP Upgrades'!$K151</f>
        <v>0.6310395381672766</v>
      </c>
      <c r="AG14" s="84">
        <f t="shared" si="2"/>
        <v>0.41313692628431714</v>
      </c>
      <c r="AH14" s="85">
        <f t="shared" si="3"/>
        <v>2.895970510469248</v>
      </c>
      <c r="AI14" s="96" t="s">
        <v>160</v>
      </c>
      <c r="AJ14" s="96" t="s">
        <v>161</v>
      </c>
      <c r="AK14" s="451">
        <f>VLOOKUP(A14,'CAC and HP Upgrades'!$B$141:$R$176,17,0)</f>
        <v>18.27841710964546</v>
      </c>
    </row>
    <row r="15" spans="1:37" ht="67.5">
      <c r="A15" s="88" t="str">
        <f>'CAC and HP Upgrades'!B152</f>
        <v>SGC Manufactured Home HP Upgrade w/PTCS  - Zone 3 Heat - Zone 2 Cool</v>
      </c>
      <c r="B15" s="81" t="str">
        <f>VLOOKUP($A15,LookupTable!$A$3:$D$38,2,0)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15" s="81" t="str">
        <f>VLOOKUP($A15,LookupTable!$A$3:$D$38,3,0)</f>
        <v>Super Good Cents Manufactured Home with existing or proposed central air conditioning system</v>
      </c>
      <c r="D15" s="81" t="str">
        <f>VLOOKUP($A15,LookupTable!$A$3:$D$38,4,0)</f>
        <v>Heating Zone 3 - Cooling Zone 2</v>
      </c>
      <c r="E15" s="82">
        <f>'CAC and HP Upgrades'!E152</f>
        <v>900.16</v>
      </c>
      <c r="F15" s="82">
        <f>'CAC and HP Upgrades'!F152</f>
        <v>0.794533569708932</v>
      </c>
      <c r="G15" s="82">
        <f>'CAC and HP Upgrades'!G152</f>
        <v>15.024137496948242</v>
      </c>
      <c r="H15" s="83">
        <f>'CAC and HP Upgrades'!C152</f>
        <v>18</v>
      </c>
      <c r="I15" s="83" t="s">
        <v>157</v>
      </c>
      <c r="J15" s="83">
        <f>'CAC and HP Upgrades'!D152</f>
        <v>3797.5392223562258</v>
      </c>
      <c r="K15" s="83">
        <f>'CAC and HP Upgrades'!K152</f>
        <v>4087.1015880608875</v>
      </c>
      <c r="L15" s="85">
        <f>'CAC and HP Upgrades'!J152</f>
        <v>0.3349323272705078</v>
      </c>
      <c r="M15" s="85">
        <f>'CAC and HP Upgrades'!L152</f>
        <v>0.9890342371601737</v>
      </c>
      <c r="N15" s="89">
        <f>'CAC and HP Upgrades'!N152/'CAC and HP Upgrades'!K152</f>
        <v>0.2202433124506984</v>
      </c>
      <c r="O15" s="89">
        <f>('CAC and HP Upgrades'!O152/'CAC and HP Upgrades'!$K152)</f>
        <v>0.0023175046898155026</v>
      </c>
      <c r="P15" s="89">
        <f>('CAC and HP Upgrades'!P152/'CAC and HP Upgrades'!$K152)</f>
        <v>0.0036759882702295144</v>
      </c>
      <c r="Q15" s="89">
        <f>('CAC and HP Upgrades'!N152/'CAC and HP Upgrades'!$K152)</f>
        <v>0.2202433124506984</v>
      </c>
      <c r="R15" s="84">
        <f>'CAC and HP Upgrades'!S152/'CAC and HP Upgrades'!$K152</f>
        <v>0.36315610778870544</v>
      </c>
      <c r="S15" s="84">
        <f>'CAC and HP Upgrades'!T152/'CAC and HP Upgrades'!$K152</f>
        <v>0.00865447987325901</v>
      </c>
      <c r="T15" s="84">
        <f>'CAC and HP Upgrades'!U152/'CAC and HP Upgrades'!$K152</f>
        <v>0.05352137559617644</v>
      </c>
      <c r="U15" s="84">
        <f>'CAC and HP Upgrades'!V152/'CAC and HP Upgrades'!$K152</f>
        <v>0.42493951652793926</v>
      </c>
      <c r="V15" s="84">
        <f t="shared" si="0"/>
        <v>0.20469620407724087</v>
      </c>
      <c r="W15" s="85">
        <f t="shared" si="1"/>
        <v>1.9294093963605012</v>
      </c>
      <c r="X15" s="85">
        <f>'CAC and HP Upgrades'!Y152/'CAC and HP Upgrades'!D152</f>
        <v>0.18465857174484038</v>
      </c>
      <c r="Y15" s="90">
        <f>'CAC and HP Upgrades'!M152</f>
        <v>2.9411542415618896</v>
      </c>
      <c r="Z15" s="85">
        <f>'CAC and HP Upgrades'!Y152/'CAC and HP Upgrades'!K152</f>
        <v>0.17157590870600736</v>
      </c>
      <c r="AA15" s="84" t="s">
        <v>158</v>
      </c>
      <c r="AB15" s="91" t="s">
        <v>159</v>
      </c>
      <c r="AC15" s="84">
        <f>'CAC and HP Upgrades'!Z152/'CAC and HP Upgrades'!$K152</f>
        <v>0</v>
      </c>
      <c r="AD15" s="84">
        <f>'CAC and HP Upgrades'!AA152/'CAC and HP Upgrades'!$K152</f>
        <v>0</v>
      </c>
      <c r="AE15" s="84">
        <f>'CAC and HP Upgrades'!AC152/'CAC and HP Upgrades'!$K152</f>
        <v>0.22623681161542858</v>
      </c>
      <c r="AF15" s="84">
        <f>'CAC and HP Upgrades'!AB152/'CAC and HP Upgrades'!$K152</f>
        <v>0.5965154010584456</v>
      </c>
      <c r="AG15" s="84">
        <f t="shared" si="2"/>
        <v>0.370278589443017</v>
      </c>
      <c r="AH15" s="85">
        <f t="shared" si="3"/>
        <v>2.6366858549635133</v>
      </c>
      <c r="AI15" s="96" t="s">
        <v>160</v>
      </c>
      <c r="AJ15" s="96" t="s">
        <v>161</v>
      </c>
      <c r="AK15" s="451">
        <f>VLOOKUP(A15,'CAC and HP Upgrades'!$B$141:$R$176,17,0)</f>
        <v>18.977518316688304</v>
      </c>
    </row>
    <row r="16" spans="1:37" ht="67.5">
      <c r="A16" s="88" t="str">
        <f>'CAC and HP Upgrades'!B153</f>
        <v>Pre94 Manufactured Home HP Upgrade w/PTCS  - Zone 2 Heat - Zone 2 Cool</v>
      </c>
      <c r="B16" s="81" t="str">
        <f>VLOOKUP($A16,LookupTable!$A$3:$D$38,2,0)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16" s="81" t="str">
        <f>VLOOKUP($A16,LookupTable!$A$3:$D$38,3,0)</f>
        <v>Manufactured Home with existing central air conditioning system built prior to 1994</v>
      </c>
      <c r="D16" s="81" t="str">
        <f>VLOOKUP($A16,LookupTable!$A$3:$D$38,4,0)</f>
        <v>Heating Zone 2 - Cooling Zone 2</v>
      </c>
      <c r="E16" s="82">
        <f>'CAC and HP Upgrades'!E153</f>
        <v>900.16</v>
      </c>
      <c r="F16" s="82">
        <f>'CAC and HP Upgrades'!F153</f>
        <v>0.794533569708932</v>
      </c>
      <c r="G16" s="82">
        <f>'CAC and HP Upgrades'!G153</f>
        <v>15.024137496948242</v>
      </c>
      <c r="H16" s="83">
        <f>'CAC and HP Upgrades'!C153</f>
        <v>18</v>
      </c>
      <c r="I16" s="83" t="s">
        <v>157</v>
      </c>
      <c r="J16" s="83">
        <f>'CAC and HP Upgrades'!D153</f>
        <v>3716.0858147821473</v>
      </c>
      <c r="K16" s="83">
        <f>'CAC and HP Upgrades'!K153</f>
        <v>3999.437358159286</v>
      </c>
      <c r="L16" s="85">
        <f>'CAC and HP Upgrades'!J153</f>
        <v>0.3189719617366791</v>
      </c>
      <c r="M16" s="85">
        <f>'CAC and HP Upgrades'!L153</f>
        <v>0.9217012774479676</v>
      </c>
      <c r="N16" s="89">
        <f>'CAC and HP Upgrades'!N153/'CAC and HP Upgrades'!K153</f>
        <v>0.22507085658952058</v>
      </c>
      <c r="O16" s="89">
        <f>('CAC and HP Upgrades'!O153/'CAC and HP Upgrades'!$K153)</f>
        <v>0.0023683024010264443</v>
      </c>
      <c r="P16" s="89">
        <f>('CAC and HP Upgrades'!P153/'CAC and HP Upgrades'!$K153)</f>
        <v>0.003756562774085553</v>
      </c>
      <c r="Q16" s="89">
        <f>('CAC and HP Upgrades'!N153/'CAC and HP Upgrades'!$K153)</f>
        <v>0.22507085658952058</v>
      </c>
      <c r="R16" s="84">
        <f>'CAC and HP Upgrades'!S153/'CAC and HP Upgrades'!$K153</f>
        <v>0.3713717668668315</v>
      </c>
      <c r="S16" s="84">
        <f>'CAC and HP Upgrades'!T153/'CAC and HP Upgrades'!$K153</f>
        <v>0.008242071771047105</v>
      </c>
      <c r="T16" s="84">
        <f>'CAC and HP Upgrades'!U153/'CAC and HP Upgrades'!$K153</f>
        <v>0.05425137873507984</v>
      </c>
      <c r="U16" s="84">
        <f>'CAC and HP Upgrades'!V153/'CAC and HP Upgrades'!$K153</f>
        <v>0.43349147224810336</v>
      </c>
      <c r="V16" s="84">
        <f t="shared" si="0"/>
        <v>0.20842061565858278</v>
      </c>
      <c r="W16" s="85">
        <f t="shared" si="1"/>
        <v>1.926022226141414</v>
      </c>
      <c r="X16" s="85">
        <f>'CAC and HP Upgrades'!Y153/'CAC and HP Upgrades'!D153</f>
        <v>0.1840701921257738</v>
      </c>
      <c r="Y16" s="90">
        <f>'CAC and HP Upgrades'!M153</f>
        <v>2.86889910697937</v>
      </c>
      <c r="Z16" s="85">
        <f>'CAC and HP Upgrades'!Y153/'CAC and HP Upgrades'!K153</f>
        <v>0.1710292145187213</v>
      </c>
      <c r="AA16" s="84" t="s">
        <v>158</v>
      </c>
      <c r="AB16" s="91" t="s">
        <v>159</v>
      </c>
      <c r="AC16" s="84">
        <f>'CAC and HP Upgrades'!Z153/'CAC and HP Upgrades'!$K153</f>
        <v>0</v>
      </c>
      <c r="AD16" s="84">
        <f>'CAC and HP Upgrades'!AA153/'CAC and HP Upgrades'!$K153</f>
        <v>0</v>
      </c>
      <c r="AE16" s="84">
        <f>'CAC and HP Upgrades'!AC153/'CAC and HP Upgrades'!$K153</f>
        <v>0.2311957281053191</v>
      </c>
      <c r="AF16" s="84">
        <f>'CAC and HP Upgrades'!AB153/'CAC and HP Upgrades'!$K153</f>
        <v>0.6045207011053174</v>
      </c>
      <c r="AG16" s="84">
        <f t="shared" si="2"/>
        <v>0.37332497299999834</v>
      </c>
      <c r="AH16" s="85">
        <f t="shared" si="3"/>
        <v>2.614757227823576</v>
      </c>
      <c r="AI16" s="96" t="s">
        <v>160</v>
      </c>
      <c r="AJ16" s="96" t="s">
        <v>161</v>
      </c>
      <c r="AK16" s="451">
        <f>VLOOKUP(A16,'CAC and HP Upgrades'!$B$141:$R$176,17,0)</f>
        <v>19.393489209514517</v>
      </c>
    </row>
    <row r="17" spans="1:37" ht="67.5">
      <c r="A17" s="88" t="str">
        <f>'CAC and HP Upgrades'!B154</f>
        <v>SGC Manufactured Home HP Upgrade w/PTCS  - Zone 3 Heat - Zone 1 Cool</v>
      </c>
      <c r="B17" s="81" t="str">
        <f>VLOOKUP($A17,LookupTable!$A$3:$D$38,2,0)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17" s="81" t="str">
        <f>VLOOKUP($A17,LookupTable!$A$3:$D$38,3,0)</f>
        <v>Super Good Cents Manufactured Home with existing or proposed central air conditioning system</v>
      </c>
      <c r="D17" s="81" t="str">
        <f>VLOOKUP($A17,LookupTable!$A$3:$D$38,4,0)</f>
        <v>Heating Zone 3 - Cooling Zone 1</v>
      </c>
      <c r="E17" s="82">
        <f>'CAC and HP Upgrades'!E154</f>
        <v>900.16</v>
      </c>
      <c r="F17" s="82">
        <f>'CAC and HP Upgrades'!F154</f>
        <v>0.794533569708932</v>
      </c>
      <c r="G17" s="82">
        <f>'CAC and HP Upgrades'!G154</f>
        <v>15.024137496948242</v>
      </c>
      <c r="H17" s="83">
        <f>'CAC and HP Upgrades'!C154</f>
        <v>18</v>
      </c>
      <c r="I17" s="83" t="s">
        <v>157</v>
      </c>
      <c r="J17" s="83">
        <f>'CAC and HP Upgrades'!D154</f>
        <v>3683.9584121107673</v>
      </c>
      <c r="K17" s="83">
        <f>'CAC and HP Upgrades'!K154</f>
        <v>3964.8602410342132</v>
      </c>
      <c r="L17" s="85">
        <f>'CAC and HP Upgrades'!J154</f>
        <v>0.3452587127685547</v>
      </c>
      <c r="M17" s="85">
        <f>'CAC and HP Upgrades'!L154</f>
        <v>0.9890342371601737</v>
      </c>
      <c r="N17" s="89">
        <f>'CAC and HP Upgrades'!N154/'CAC and HP Upgrades'!K154</f>
        <v>0.22703367517495104</v>
      </c>
      <c r="O17" s="89">
        <f>('CAC and HP Upgrades'!O154/'CAC and HP Upgrades'!$K154)</f>
        <v>0.0023889561099921155</v>
      </c>
      <c r="P17" s="89">
        <f>('CAC and HP Upgrades'!P154/'CAC and HP Upgrades'!$K154)</f>
        <v>0.003789323351541207</v>
      </c>
      <c r="Q17" s="89">
        <f>('CAC and HP Upgrades'!N154/'CAC and HP Upgrades'!$K154)</f>
        <v>0.22703367517495104</v>
      </c>
      <c r="R17" s="84">
        <f>'CAC and HP Upgrades'!S154/'CAC and HP Upgrades'!$K154</f>
        <v>0.3548983599937978</v>
      </c>
      <c r="S17" s="84">
        <f>'CAC and HP Upgrades'!T154/'CAC and HP Upgrades'!$K154</f>
        <v>0.00892130775954195</v>
      </c>
      <c r="T17" s="84">
        <f>'CAC and HP Upgrades'!U154/'CAC and HP Upgrades'!$K154</f>
        <v>0.05275484138264541</v>
      </c>
      <c r="U17" s="84">
        <f>'CAC and HP Upgrades'!V154/'CAC and HP Upgrades'!$K154</f>
        <v>0.4161699620857111</v>
      </c>
      <c r="V17" s="84">
        <f t="shared" si="0"/>
        <v>0.18913628691076007</v>
      </c>
      <c r="W17" s="85">
        <f t="shared" si="1"/>
        <v>1.8330759160067887</v>
      </c>
      <c r="X17" s="85">
        <f>'CAC and HP Upgrades'!Y154/'CAC and HP Upgrades'!D154</f>
        <v>0.18503926067053345</v>
      </c>
      <c r="Y17" s="90">
        <f>'CAC and HP Upgrades'!M154</f>
        <v>2.8590691089630127</v>
      </c>
      <c r="Z17" s="85">
        <f>'CAC and HP Upgrades'!Y154/'CAC and HP Upgrades'!K154</f>
        <v>0.17192962663928776</v>
      </c>
      <c r="AA17" s="84" t="s">
        <v>158</v>
      </c>
      <c r="AB17" s="91" t="s">
        <v>159</v>
      </c>
      <c r="AC17" s="84">
        <f>'CAC and HP Upgrades'!Z154/'CAC and HP Upgrades'!$K154</f>
        <v>0</v>
      </c>
      <c r="AD17" s="84">
        <f>'CAC and HP Upgrades'!AA154/'CAC and HP Upgrades'!$K154</f>
        <v>0</v>
      </c>
      <c r="AE17" s="84">
        <f>'CAC and HP Upgrades'!AC154/'CAC and HP Upgrades'!$K154</f>
        <v>0.23321196103246733</v>
      </c>
      <c r="AF17" s="84">
        <f>'CAC and HP Upgrades'!AB154/'CAC and HP Upgrades'!$K154</f>
        <v>0.5880995859282557</v>
      </c>
      <c r="AG17" s="84">
        <f t="shared" si="2"/>
        <v>0.3548876248957884</v>
      </c>
      <c r="AH17" s="85">
        <f t="shared" si="3"/>
        <v>2.5217385220065176</v>
      </c>
      <c r="AI17" s="96" t="s">
        <v>160</v>
      </c>
      <c r="AJ17" s="96" t="s">
        <v>161</v>
      </c>
      <c r="AK17" s="451">
        <f>VLOOKUP(A17,'CAC and HP Upgrades'!$B$141:$R$176,17,0)</f>
        <v>19.562617730343867</v>
      </c>
    </row>
    <row r="18" spans="1:37" ht="67.5">
      <c r="A18" s="88" t="str">
        <f>'CAC and HP Upgrades'!B155</f>
        <v>Post93 Manufactured Home NonSGC HP Upgrade w/PTCS  - Zone 1 Heat - Zone 3 Cool</v>
      </c>
      <c r="B18" s="81" t="str">
        <f>VLOOKUP($A18,LookupTable!$A$3:$D$38,2,0)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18" s="81" t="str">
        <f>VLOOKUP($A18,LookupTable!$A$3:$D$38,3,0)</f>
        <v>Non-Super Good Cents Manufactured Home with existing or proposed central air conditioning system built after 1993</v>
      </c>
      <c r="D18" s="81" t="str">
        <f>VLOOKUP($A18,LookupTable!$A$3:$D$38,4,0)</f>
        <v>Heating Zone 1 - Cooling Zone 3</v>
      </c>
      <c r="E18" s="82">
        <f>'CAC and HP Upgrades'!E155</f>
        <v>900.16</v>
      </c>
      <c r="F18" s="82">
        <f>'CAC and HP Upgrades'!F155</f>
        <v>0.794533569708932</v>
      </c>
      <c r="G18" s="82">
        <f>'CAC and HP Upgrades'!G155</f>
        <v>15.024137496948242</v>
      </c>
      <c r="H18" s="83">
        <f>'CAC and HP Upgrades'!C155</f>
        <v>18</v>
      </c>
      <c r="I18" s="83" t="s">
        <v>157</v>
      </c>
      <c r="J18" s="83">
        <f>'CAC and HP Upgrades'!D155</f>
        <v>3391.776529400271</v>
      </c>
      <c r="K18" s="83">
        <f>'CAC and HP Upgrades'!K155</f>
        <v>3650.3994897670414</v>
      </c>
      <c r="L18" s="85">
        <f>'CAC and HP Upgrades'!J155</f>
        <v>0.2875039577484131</v>
      </c>
      <c r="M18" s="85">
        <f>'CAC and HP Upgrades'!L155</f>
        <v>0.7582685308472122</v>
      </c>
      <c r="N18" s="89">
        <f>'CAC and HP Upgrades'!N155/'CAC and HP Upgrades'!K155</f>
        <v>0.24659130996494996</v>
      </c>
      <c r="O18" s="89">
        <f>('CAC and HP Upgrades'!O155/'CAC and HP Upgrades'!$K155)</f>
        <v>0.0025947508278574643</v>
      </c>
      <c r="P18" s="89">
        <f>('CAC and HP Upgrades'!P155/'CAC and HP Upgrades'!$K155)</f>
        <v>0.004115751588028805</v>
      </c>
      <c r="Q18" s="89">
        <f>('CAC and HP Upgrades'!N155/'CAC and HP Upgrades'!$K155)</f>
        <v>0.24659130996494996</v>
      </c>
      <c r="R18" s="84">
        <f>'CAC and HP Upgrades'!S155/'CAC and HP Upgrades'!$K155</f>
        <v>0.3966222388878539</v>
      </c>
      <c r="S18" s="84">
        <f>'CAC and HP Upgrades'!T155/'CAC and HP Upgrades'!$K155</f>
        <v>0.007428955194388675</v>
      </c>
      <c r="T18" s="84">
        <f>'CAC and HP Upgrades'!U155/'CAC and HP Upgrades'!$K155</f>
        <v>0.05659589904347577</v>
      </c>
      <c r="U18" s="84">
        <f>'CAC and HP Upgrades'!V155/'CAC and HP Upgrades'!$K155</f>
        <v>0.46031021812427214</v>
      </c>
      <c r="V18" s="84">
        <f t="shared" si="0"/>
        <v>0.21371890815932218</v>
      </c>
      <c r="W18" s="85">
        <f t="shared" si="1"/>
        <v>1.8666927808189988</v>
      </c>
      <c r="X18" s="85">
        <f>'CAC and HP Upgrades'!Y155/'CAC and HP Upgrades'!D155</f>
        <v>0.182910086009837</v>
      </c>
      <c r="Y18" s="90">
        <f>'CAC and HP Upgrades'!M155</f>
        <v>2.602022886276245</v>
      </c>
      <c r="Z18" s="85">
        <f>'CAC and HP Upgrades'!Y155/'CAC and HP Upgrades'!K155</f>
        <v>0.16995129942842</v>
      </c>
      <c r="AA18" s="84" t="s">
        <v>158</v>
      </c>
      <c r="AB18" s="91" t="s">
        <v>159</v>
      </c>
      <c r="AC18" s="84">
        <f>'CAC and HP Upgrades'!Z155/'CAC and HP Upgrades'!$K155</f>
        <v>0</v>
      </c>
      <c r="AD18" s="84">
        <f>'CAC and HP Upgrades'!AA155/'CAC and HP Upgrades'!$K155</f>
        <v>0</v>
      </c>
      <c r="AE18" s="84">
        <f>'CAC and HP Upgrades'!AC155/'CAC and HP Upgrades'!$K155</f>
        <v>0.25330181932779605</v>
      </c>
      <c r="AF18" s="84">
        <f>'CAC and HP Upgrades'!AB155/'CAC and HP Upgrades'!$K155</f>
        <v>0.6302615111791366</v>
      </c>
      <c r="AG18" s="84">
        <f t="shared" si="2"/>
        <v>0.3769596918513406</v>
      </c>
      <c r="AH18" s="85">
        <f t="shared" si="3"/>
        <v>2.488183909818349</v>
      </c>
      <c r="AI18" s="96" t="s">
        <v>160</v>
      </c>
      <c r="AJ18" s="96" t="s">
        <v>161</v>
      </c>
      <c r="AK18" s="451">
        <f>VLOOKUP(A18,'CAC and HP Upgrades'!$B$141:$R$176,17,0)</f>
        <v>21.247823825041465</v>
      </c>
    </row>
    <row r="19" spans="1:37" ht="67.5">
      <c r="A19" s="88" t="str">
        <f>'CAC and HP Upgrades'!B156</f>
        <v>Pre94 Manufactured Home HP Upgrade w/PTCS  - Zone 2 Heat - Zone 1 Cool</v>
      </c>
      <c r="B19" s="81" t="str">
        <f>VLOOKUP($A19,LookupTable!$A$3:$D$38,2,0)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19" s="81" t="str">
        <f>VLOOKUP($A19,LookupTable!$A$3:$D$38,3,0)</f>
        <v>Manufactured Home with existing central air conditioning system built prior to 1994</v>
      </c>
      <c r="D19" s="81" t="str">
        <f>VLOOKUP($A19,LookupTable!$A$3:$D$38,4,0)</f>
        <v>Heating Zone 2 - Cooling Zone 1</v>
      </c>
      <c r="E19" s="82">
        <f>'CAC and HP Upgrades'!E156</f>
        <v>900.16</v>
      </c>
      <c r="F19" s="82">
        <f>'CAC and HP Upgrades'!F156</f>
        <v>0.794533569708932</v>
      </c>
      <c r="G19" s="82">
        <f>'CAC and HP Upgrades'!G156</f>
        <v>15.024137496948242</v>
      </c>
      <c r="H19" s="83">
        <f>'CAC and HP Upgrades'!C156</f>
        <v>18</v>
      </c>
      <c r="I19" s="83" t="s">
        <v>157</v>
      </c>
      <c r="J19" s="83">
        <f>'CAC and HP Upgrades'!D156</f>
        <v>3546.5164987606126</v>
      </c>
      <c r="K19" s="83">
        <f>'CAC and HP Upgrades'!K156</f>
        <v>3816.938381791109</v>
      </c>
      <c r="L19" s="85">
        <f>'CAC and HP Upgrades'!J156</f>
        <v>0.3342229425907135</v>
      </c>
      <c r="M19" s="85">
        <f>'CAC and HP Upgrades'!L156</f>
        <v>0.9217012774479676</v>
      </c>
      <c r="N19" s="89">
        <f>'CAC and HP Upgrades'!N156/'CAC and HP Upgrades'!K156</f>
        <v>0.23583215185534082</v>
      </c>
      <c r="O19" s="89">
        <f>('CAC and HP Upgrades'!O156/'CAC and HP Upgrades'!$K156)</f>
        <v>0.0024815378585280675</v>
      </c>
      <c r="P19" s="89">
        <f>('CAC and HP Upgrades'!P156/'CAC and HP Upgrades'!$K156)</f>
        <v>0.00393617501624381</v>
      </c>
      <c r="Q19" s="89">
        <f>('CAC and HP Upgrades'!N156/'CAC and HP Upgrades'!$K156)</f>
        <v>0.23583215185534082</v>
      </c>
      <c r="R19" s="84">
        <f>'CAC and HP Upgrades'!S156/'CAC and HP Upgrades'!$K156</f>
        <v>0.35852562672028215</v>
      </c>
      <c r="S19" s="84">
        <f>'CAC and HP Upgrades'!T156/'CAC and HP Upgrades'!$K156</f>
        <v>0.008636149304115194</v>
      </c>
      <c r="T19" s="84">
        <f>'CAC and HP Upgrades'!U156/'CAC and HP Upgrades'!$K156</f>
        <v>0.05305425488223831</v>
      </c>
      <c r="U19" s="84">
        <f>'CAC and HP Upgrades'!V156/'CAC and HP Upgrades'!$K156</f>
        <v>0.4198244164350588</v>
      </c>
      <c r="V19" s="84">
        <f t="shared" si="0"/>
        <v>0.18399226457971798</v>
      </c>
      <c r="W19" s="85">
        <f t="shared" si="1"/>
        <v>1.7801831223275215</v>
      </c>
      <c r="X19" s="85">
        <f>'CAC and HP Upgrades'!Y156/'CAC and HP Upgrades'!D156</f>
        <v>0.18463240763482802</v>
      </c>
      <c r="Y19" s="90">
        <f>'CAC and HP Upgrades'!M156</f>
        <v>2.7463507652282715</v>
      </c>
      <c r="Z19" s="85">
        <f>'CAC and HP Upgrades'!Y156/'CAC and HP Upgrades'!K156</f>
        <v>0.17155159826697147</v>
      </c>
      <c r="AA19" s="84" t="s">
        <v>158</v>
      </c>
      <c r="AB19" s="91" t="s">
        <v>159</v>
      </c>
      <c r="AC19" s="84">
        <f>'CAC and HP Upgrades'!Z156/'CAC and HP Upgrades'!$K156</f>
        <v>0</v>
      </c>
      <c r="AD19" s="84">
        <f>'CAC and HP Upgrades'!AA156/'CAC and HP Upgrades'!$K156</f>
        <v>0</v>
      </c>
      <c r="AE19" s="84">
        <f>'CAC and HP Upgrades'!AC156/'CAC and HP Upgrades'!$K156</f>
        <v>0.24224987137396597</v>
      </c>
      <c r="AF19" s="84">
        <f>'CAC and HP Upgrades'!AB156/'CAC and HP Upgrades'!$K156</f>
        <v>0.5913760254495269</v>
      </c>
      <c r="AG19" s="84">
        <f t="shared" si="2"/>
        <v>0.34912615407556097</v>
      </c>
      <c r="AH19" s="85">
        <f t="shared" si="3"/>
        <v>2.4411819997898285</v>
      </c>
      <c r="AI19" s="96" t="s">
        <v>160</v>
      </c>
      <c r="AJ19" s="96" t="s">
        <v>161</v>
      </c>
      <c r="AK19" s="451">
        <f>VLOOKUP(A19,'CAC and HP Upgrades'!$B$141:$R$176,17,0)</f>
        <v>20.320748592539417</v>
      </c>
    </row>
    <row r="20" spans="1:37" ht="67.5">
      <c r="A20" s="88" t="str">
        <f>'CAC and HP Upgrades'!B157</f>
        <v>SGC Manufactured Home HP Upgrade w/PTCS  - Zone 2 Heat - Zone 3 Cool</v>
      </c>
      <c r="B20" s="81" t="str">
        <f>VLOOKUP($A20,LookupTable!$A$3:$D$38,2,0)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20" s="81" t="str">
        <f>VLOOKUP($A20,LookupTable!$A$3:$D$38,3,0)</f>
        <v>Super Good Cents Manufactured Home with existing or proposed central air conditioning system</v>
      </c>
      <c r="D20" s="81" t="str">
        <f>VLOOKUP($A20,LookupTable!$A$3:$D$38,4,0)</f>
        <v>Heating Zone 2 - Cooling Zone 3</v>
      </c>
      <c r="E20" s="82">
        <f>'CAC and HP Upgrades'!E157</f>
        <v>900.16</v>
      </c>
      <c r="F20" s="82">
        <f>'CAC and HP Upgrades'!F157</f>
        <v>0.794533569708932</v>
      </c>
      <c r="G20" s="82">
        <f>'CAC and HP Upgrades'!G157</f>
        <v>15.024137496948242</v>
      </c>
      <c r="H20" s="83">
        <f>'CAC and HP Upgrades'!C157</f>
        <v>18</v>
      </c>
      <c r="I20" s="83" t="s">
        <v>157</v>
      </c>
      <c r="J20" s="83">
        <f>'CAC and HP Upgrades'!D157</f>
        <v>3274.535688277193</v>
      </c>
      <c r="K20" s="83">
        <f>'CAC and HP Upgrades'!K157</f>
        <v>3524.2190345083286</v>
      </c>
      <c r="L20" s="85">
        <f>'CAC and HP Upgrades'!J157</f>
        <v>0.3053728938102722</v>
      </c>
      <c r="M20" s="85">
        <f>'CAC and HP Upgrades'!L157</f>
        <v>0.7775568936683586</v>
      </c>
      <c r="N20" s="89">
        <f>'CAC and HP Upgrades'!N157/'CAC and HP Upgrades'!K157</f>
        <v>0.25542021743339866</v>
      </c>
      <c r="O20" s="89">
        <f>('CAC and HP Upgrades'!O157/'CAC and HP Upgrades'!$K157)</f>
        <v>0.0026876527835917948</v>
      </c>
      <c r="P20" s="89">
        <f>('CAC and HP Upgrades'!P157/'CAC and HP Upgrades'!$K157)</f>
        <v>0.004263111160184825</v>
      </c>
      <c r="Q20" s="89">
        <f>('CAC and HP Upgrades'!N157/'CAC and HP Upgrades'!$K157)</f>
        <v>0.25542021743339866</v>
      </c>
      <c r="R20" s="84">
        <f>'CAC and HP Upgrades'!S157/'CAC and HP Upgrades'!$K157</f>
        <v>0.39204201333584004</v>
      </c>
      <c r="S20" s="84">
        <f>'CAC and HP Upgrades'!T157/'CAC and HP Upgrades'!$K157</f>
        <v>0.007890679025377401</v>
      </c>
      <c r="T20" s="84">
        <f>'CAC and HP Upgrades'!U157/'CAC and HP Upgrades'!$K157</f>
        <v>0.05624038786857699</v>
      </c>
      <c r="U20" s="84">
        <f>'CAC and HP Upgrades'!V157/'CAC and HP Upgrades'!$K157</f>
        <v>0.45581527012212925</v>
      </c>
      <c r="V20" s="84">
        <f t="shared" si="0"/>
        <v>0.2003950526887306</v>
      </c>
      <c r="W20" s="85">
        <f t="shared" si="1"/>
        <v>1.784570049710274</v>
      </c>
      <c r="X20" s="85">
        <f>'CAC and HP Upgrades'!Y157/'CAC and HP Upgrades'!D157</f>
        <v>0.18356885996236574</v>
      </c>
      <c r="Y20" s="90">
        <f>'CAC and HP Upgrades'!M157</f>
        <v>2.521127700805664</v>
      </c>
      <c r="Z20" s="85">
        <f>'CAC and HP Upgrades'!Y157/'CAC and HP Upgrades'!K157</f>
        <v>0.17056340066189618</v>
      </c>
      <c r="AA20" s="84" t="s">
        <v>158</v>
      </c>
      <c r="AB20" s="91" t="s">
        <v>159</v>
      </c>
      <c r="AC20" s="84">
        <f>'CAC and HP Upgrades'!Z157/'CAC and HP Upgrades'!$K157</f>
        <v>0</v>
      </c>
      <c r="AD20" s="84">
        <f>'CAC and HP Upgrades'!AA157/'CAC and HP Upgrades'!$K157</f>
        <v>0</v>
      </c>
      <c r="AE20" s="84">
        <f>'CAC and HP Upgrades'!AC157/'CAC and HP Upgrades'!$K157</f>
        <v>0.26237098857286273</v>
      </c>
      <c r="AF20" s="84">
        <f>'CAC and HP Upgrades'!AB157/'CAC and HP Upgrades'!$K157</f>
        <v>0.6263786625784236</v>
      </c>
      <c r="AG20" s="84">
        <f t="shared" si="2"/>
        <v>0.36400767400556083</v>
      </c>
      <c r="AH20" s="85">
        <f t="shared" si="3"/>
        <v>2.3873777584386877</v>
      </c>
      <c r="AI20" s="96" t="s">
        <v>160</v>
      </c>
      <c r="AJ20" s="96" t="s">
        <v>161</v>
      </c>
      <c r="AK20" s="451">
        <f>VLOOKUP(A20,'CAC and HP Upgrades'!$B$141:$R$176,17,0)</f>
        <v>22.008576791088224</v>
      </c>
    </row>
    <row r="21" spans="1:37" ht="67.5">
      <c r="A21" s="88" t="str">
        <f>'CAC and HP Upgrades'!B158</f>
        <v>SGC Manufactured Home HP Upgrade w/PTCS  - Zone 2 Heat - Zone 2 Cool</v>
      </c>
      <c r="B21" s="81" t="str">
        <f>VLOOKUP($A21,LookupTable!$A$3:$D$38,2,0)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21" s="81" t="str">
        <f>VLOOKUP($A21,LookupTable!$A$3:$D$38,3,0)</f>
        <v>Super Good Cents Manufactured Home with existing or proposed central air conditioning system</v>
      </c>
      <c r="D21" s="81" t="str">
        <f>VLOOKUP($A21,LookupTable!$A$3:$D$38,4,0)</f>
        <v>Heating Zone 2 - Cooling Zone 2</v>
      </c>
      <c r="E21" s="82">
        <f>'CAC and HP Upgrades'!E158</f>
        <v>900.16</v>
      </c>
      <c r="F21" s="82">
        <f>'CAC and HP Upgrades'!F158</f>
        <v>0.794533569708932</v>
      </c>
      <c r="G21" s="82">
        <f>'CAC and HP Upgrades'!G158</f>
        <v>15.024137496948242</v>
      </c>
      <c r="H21" s="83">
        <f>'CAC and HP Upgrades'!C158</f>
        <v>18</v>
      </c>
      <c r="I21" s="83" t="s">
        <v>157</v>
      </c>
      <c r="J21" s="83">
        <f>'CAC and HP Upgrades'!D158</f>
        <v>3031.4426221338845</v>
      </c>
      <c r="K21" s="83">
        <f>'CAC and HP Upgrades'!K158</f>
        <v>3262.5901220715928</v>
      </c>
      <c r="L21" s="85">
        <f>'CAC and HP Upgrades'!J158</f>
        <v>0.3298608958721161</v>
      </c>
      <c r="M21" s="85">
        <f>'CAC and HP Upgrades'!L158</f>
        <v>0.7775568936683586</v>
      </c>
      <c r="N21" s="89">
        <f>'CAC and HP Upgrades'!N158/'CAC and HP Upgrades'!K158</f>
        <v>0.2759025064127522</v>
      </c>
      <c r="O21" s="89">
        <f>('CAC and HP Upgrades'!O158/'CAC and HP Upgrades'!$K158)</f>
        <v>0.0029031771517990424</v>
      </c>
      <c r="P21" s="89">
        <f>('CAC and HP Upgrades'!P158/'CAC and HP Upgrades'!$K158)</f>
        <v>0.004604972409898861</v>
      </c>
      <c r="Q21" s="89">
        <f>('CAC and HP Upgrades'!N158/'CAC and HP Upgrades'!$K158)</f>
        <v>0.2759025064127522</v>
      </c>
      <c r="R21" s="84">
        <f>'CAC and HP Upgrades'!S158/'CAC and HP Upgrades'!$K158</f>
        <v>0.36333226076942166</v>
      </c>
      <c r="S21" s="84">
        <f>'CAC and HP Upgrades'!T158/'CAC and HP Upgrades'!$K158</f>
        <v>0.008523436955290472</v>
      </c>
      <c r="T21" s="84">
        <f>'CAC and HP Upgrades'!U158/'CAC and HP Upgrades'!$K158</f>
        <v>0.053509895448463955</v>
      </c>
      <c r="U21" s="84">
        <f>'CAC and HP Upgrades'!V158/'CAC and HP Upgrades'!$K158</f>
        <v>0.42497908832057807</v>
      </c>
      <c r="V21" s="84">
        <f t="shared" si="0"/>
        <v>0.14907658190782586</v>
      </c>
      <c r="W21" s="85">
        <f t="shared" si="1"/>
        <v>1.5403234057062394</v>
      </c>
      <c r="X21" s="85">
        <f>'CAC and HP Upgrades'!Y158/'CAC and HP Upgrades'!D158</f>
        <v>0.18447158549939094</v>
      </c>
      <c r="Y21" s="90">
        <f>'CAC and HP Upgrades'!M158</f>
        <v>2.3454434871673584</v>
      </c>
      <c r="Z21" s="85">
        <f>'CAC and HP Upgrades'!Y158/'CAC and HP Upgrades'!K158</f>
        <v>0.17140217003427732</v>
      </c>
      <c r="AA21" s="84" t="s">
        <v>158</v>
      </c>
      <c r="AB21" s="91" t="s">
        <v>159</v>
      </c>
      <c r="AC21" s="84">
        <f>'CAC and HP Upgrades'!Z158/'CAC and HP Upgrades'!$K158</f>
        <v>0</v>
      </c>
      <c r="AD21" s="84">
        <f>'CAC and HP Upgrades'!AA158/'CAC and HP Upgrades'!$K158</f>
        <v>0</v>
      </c>
      <c r="AE21" s="84">
        <f>'CAC and HP Upgrades'!AC158/'CAC and HP Upgrades'!$K158</f>
        <v>0.2834106637471637</v>
      </c>
      <c r="AF21" s="84">
        <f>'CAC and HP Upgrades'!AB158/'CAC and HP Upgrades'!$K158</f>
        <v>0.5963812448982377</v>
      </c>
      <c r="AG21" s="84">
        <f t="shared" si="2"/>
        <v>0.312970581151074</v>
      </c>
      <c r="AH21" s="85">
        <f t="shared" si="3"/>
        <v>2.104300653380782</v>
      </c>
      <c r="AI21" s="96" t="s">
        <v>160</v>
      </c>
      <c r="AJ21" s="96" t="s">
        <v>161</v>
      </c>
      <c r="AK21" s="451">
        <f>VLOOKUP(A21,'CAC and HP Upgrades'!$B$141:$R$176,17,0)</f>
        <v>23.77345677744602</v>
      </c>
    </row>
    <row r="22" spans="1:37" ht="67.5">
      <c r="A22" s="88" t="str">
        <f>'CAC and HP Upgrades'!B159</f>
        <v>Post93 Manufactured Home NonSGC HP Upgrade w/PTCS  - Zone 1 Heat - Zone 2 Cool</v>
      </c>
      <c r="B22" s="81" t="str">
        <f>VLOOKUP($A22,LookupTable!$A$3:$D$38,2,0)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22" s="81" t="str">
        <f>VLOOKUP($A22,LookupTable!$A$3:$D$38,3,0)</f>
        <v>Non-Super Good Cents Manufactured Home with existing or proposed central air conditioning system built after 1993</v>
      </c>
      <c r="D22" s="81" t="str">
        <f>VLOOKUP($A22,LookupTable!$A$3:$D$38,4,0)</f>
        <v>Heating Zone 1 - Cooling Zone 2</v>
      </c>
      <c r="E22" s="82">
        <f>'CAC and HP Upgrades'!E159</f>
        <v>900.16</v>
      </c>
      <c r="F22" s="82">
        <f>'CAC and HP Upgrades'!F159</f>
        <v>0.794533569708932</v>
      </c>
      <c r="G22" s="82">
        <f>'CAC and HP Upgrades'!G159</f>
        <v>15.024137496948242</v>
      </c>
      <c r="H22" s="83">
        <f>'CAC and HP Upgrades'!C159</f>
        <v>18</v>
      </c>
      <c r="I22" s="83" t="s">
        <v>157</v>
      </c>
      <c r="J22" s="83">
        <f>'CAC and HP Upgrades'!D159</f>
        <v>3057.4047552844854</v>
      </c>
      <c r="K22" s="83">
        <f>'CAC and HP Upgrades'!K159</f>
        <v>3290.5318678749272</v>
      </c>
      <c r="L22" s="85">
        <f>'CAC and HP Upgrades'!J159</f>
        <v>0.3189466893672943</v>
      </c>
      <c r="M22" s="85">
        <f>'CAC and HP Upgrades'!L159</f>
        <v>0.7582685308472122</v>
      </c>
      <c r="N22" s="89">
        <f>'CAC and HP Upgrades'!N159/'CAC and HP Upgrades'!K159</f>
        <v>0.273559663975652</v>
      </c>
      <c r="O22" s="89">
        <f>('CAC and HP Upgrades'!O159/'CAC and HP Upgrades'!$K159)</f>
        <v>0.0028785246514572036</v>
      </c>
      <c r="P22" s="89">
        <f>('CAC and HP Upgrades'!P159/'CAC and HP Upgrades'!$K159)</f>
        <v>0.004565869014558746</v>
      </c>
      <c r="Q22" s="89">
        <f>('CAC and HP Upgrades'!N159/'CAC and HP Upgrades'!$K159)</f>
        <v>0.273559663975652</v>
      </c>
      <c r="R22" s="84">
        <f>'CAC and HP Upgrades'!S159/'CAC and HP Upgrades'!$K159</f>
        <v>0.3575897653001251</v>
      </c>
      <c r="S22" s="84">
        <f>'CAC and HP Upgrades'!T159/'CAC and HP Upgrades'!$K159</f>
        <v>0.008241419727872823</v>
      </c>
      <c r="T22" s="84">
        <f>'CAC and HP Upgrades'!U159/'CAC and HP Upgrades'!$K159</f>
        <v>0.05287303069592021</v>
      </c>
      <c r="U22" s="84">
        <f>'CAC and HP Upgrades'!V159/'CAC and HP Upgrades'!$K159</f>
        <v>0.41833049853084064</v>
      </c>
      <c r="V22" s="84">
        <f t="shared" si="0"/>
        <v>0.14477083455518863</v>
      </c>
      <c r="W22" s="85">
        <f t="shared" si="1"/>
        <v>1.529211187246062</v>
      </c>
      <c r="X22" s="85">
        <f>'CAC and HP Upgrades'!Y159/'CAC and HP Upgrades'!D159</f>
        <v>0.18406922011683524</v>
      </c>
      <c r="Y22" s="90">
        <f>'CAC and HP Upgrades'!M159</f>
        <v>2.3603711128234863</v>
      </c>
      <c r="Z22" s="85">
        <f>'CAC and HP Upgrades'!Y159/'CAC and HP Upgrades'!K159</f>
        <v>0.17102831137452754</v>
      </c>
      <c r="AA22" s="84" t="s">
        <v>158</v>
      </c>
      <c r="AB22" s="91" t="s">
        <v>159</v>
      </c>
      <c r="AC22" s="84">
        <f>'CAC and HP Upgrades'!Z159/'CAC and HP Upgrades'!$K159</f>
        <v>0</v>
      </c>
      <c r="AD22" s="84">
        <f>'CAC and HP Upgrades'!AA159/'CAC and HP Upgrades'!$K159</f>
        <v>0</v>
      </c>
      <c r="AE22" s="84">
        <f>'CAC and HP Upgrades'!AC159/'CAC and HP Upgrades'!$K159</f>
        <v>0.28100406534837913</v>
      </c>
      <c r="AF22" s="84">
        <f>'CAC and HP Upgrades'!AB159/'CAC and HP Upgrades'!$K159</f>
        <v>0.5893588127838298</v>
      </c>
      <c r="AG22" s="84">
        <f t="shared" si="2"/>
        <v>0.3083547474354507</v>
      </c>
      <c r="AH22" s="85">
        <f t="shared" si="3"/>
        <v>2.0973319800664205</v>
      </c>
      <c r="AI22" s="96" t="s">
        <v>160</v>
      </c>
      <c r="AJ22" s="96" t="s">
        <v>161</v>
      </c>
      <c r="AK22" s="451">
        <f>VLOOKUP(A22,'CAC and HP Upgrades'!$B$141:$R$176,17,0)</f>
        <v>23.571583064376362</v>
      </c>
    </row>
    <row r="23" spans="1:37" ht="67.5">
      <c r="A23" s="88" t="str">
        <f>'CAC and HP Upgrades'!B160</f>
        <v>Pre94 Manufactured Home HP Upgrade w/PTCS  - Zone 1 Heat - Zone 3 Cool</v>
      </c>
      <c r="B23" s="81" t="str">
        <f>VLOOKUP($A23,LookupTable!$A$3:$D$38,2,0)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23" s="81" t="str">
        <f>VLOOKUP($A23,LookupTable!$A$3:$D$38,3,0)</f>
        <v>Manufactured Home with existing central air conditioning system built prior to 1994</v>
      </c>
      <c r="D23" s="81" t="str">
        <f>VLOOKUP($A23,LookupTable!$A$3:$D$38,4,0)</f>
        <v>Heating Zone 1 - Cooling Zone 3</v>
      </c>
      <c r="E23" s="82">
        <f>'CAC and HP Upgrades'!E160</f>
        <v>900.16</v>
      </c>
      <c r="F23" s="82">
        <f>'CAC and HP Upgrades'!F160</f>
        <v>0.794533569708932</v>
      </c>
      <c r="G23" s="82">
        <f>'CAC and HP Upgrades'!G160</f>
        <v>15.024137496948242</v>
      </c>
      <c r="H23" s="83">
        <f>'CAC and HP Upgrades'!C160</f>
        <v>18</v>
      </c>
      <c r="I23" s="83" t="s">
        <v>157</v>
      </c>
      <c r="J23" s="83">
        <f>'CAC and HP Upgrades'!D160</f>
        <v>2760.9046661238</v>
      </c>
      <c r="K23" s="83">
        <f>'CAC and HP Upgrades'!K160</f>
        <v>2971.423646915739</v>
      </c>
      <c r="L23" s="85">
        <f>'CAC and HP Upgrades'!J160</f>
        <v>0.27735820412635803</v>
      </c>
      <c r="M23" s="85">
        <f>'CAC and HP Upgrades'!L160</f>
        <v>0.595448780250112</v>
      </c>
      <c r="N23" s="89">
        <f>'CAC and HP Upgrades'!N160/'CAC and HP Upgrades'!K160</f>
        <v>0.30293788400431526</v>
      </c>
      <c r="O23" s="89">
        <f>('CAC and HP Upgrades'!O160/'CAC and HP Upgrades'!$K160)</f>
        <v>0.0031876562293347366</v>
      </c>
      <c r="P23" s="89">
        <f>('CAC and HP Upgrades'!P160/'CAC and HP Upgrades'!$K160)</f>
        <v>0.005056208498758805</v>
      </c>
      <c r="Q23" s="89">
        <f>('CAC and HP Upgrades'!N160/'CAC and HP Upgrades'!$K160)</f>
        <v>0.30293788400431526</v>
      </c>
      <c r="R23" s="84">
        <f>'CAC and HP Upgrades'!S160/'CAC and HP Upgrades'!$K160</f>
        <v>0.4067251754130685</v>
      </c>
      <c r="S23" s="84">
        <f>'CAC and HP Upgrades'!T160/'CAC and HP Upgrades'!$K160</f>
        <v>0.007166794219912471</v>
      </c>
      <c r="T23" s="84">
        <f>'CAC and HP Upgrades'!U160/'CAC and HP Upgrades'!$K160</f>
        <v>0.05754799256574398</v>
      </c>
      <c r="U23" s="84">
        <f>'CAC and HP Upgrades'!V160/'CAC and HP Upgrades'!$K160</f>
        <v>0.4711149762377352</v>
      </c>
      <c r="V23" s="84">
        <f t="shared" si="0"/>
        <v>0.16817709223341992</v>
      </c>
      <c r="W23" s="85">
        <f t="shared" si="1"/>
        <v>1.5551537166973288</v>
      </c>
      <c r="X23" s="85">
        <f>'CAC and HP Upgrades'!Y160/'CAC and HP Upgrades'!D160</f>
        <v>0.18253609346997557</v>
      </c>
      <c r="Y23" s="90">
        <f>'CAC and HP Upgrades'!M160</f>
        <v>2.1137144565582275</v>
      </c>
      <c r="Z23" s="85">
        <f>'CAC and HP Upgrades'!Y160/'CAC and HP Upgrades'!K160</f>
        <v>0.1696038034564233</v>
      </c>
      <c r="AA23" s="84" t="s">
        <v>158</v>
      </c>
      <c r="AB23" s="91" t="s">
        <v>159</v>
      </c>
      <c r="AC23" s="84">
        <f>'CAC and HP Upgrades'!Z160/'CAC and HP Upgrades'!$K160</f>
        <v>0</v>
      </c>
      <c r="AD23" s="84">
        <f>'CAC and HP Upgrades'!AA160/'CAC and HP Upgrades'!$K160</f>
        <v>0</v>
      </c>
      <c r="AE23" s="84">
        <f>'CAC and HP Upgrades'!AC160/'CAC and HP Upgrades'!$K160</f>
        <v>0.31118175726676195</v>
      </c>
      <c r="AF23" s="84">
        <f>'CAC and HP Upgrades'!AB160/'CAC and HP Upgrades'!$K160</f>
        <v>0.6407187766053719</v>
      </c>
      <c r="AG23" s="84">
        <f t="shared" si="2"/>
        <v>0.32953701933860996</v>
      </c>
      <c r="AH23" s="85">
        <f t="shared" si="3"/>
        <v>2.0589856623764513</v>
      </c>
      <c r="AI23" s="96" t="s">
        <v>160</v>
      </c>
      <c r="AJ23" s="96" t="s">
        <v>161</v>
      </c>
      <c r="AK23" s="451">
        <f>VLOOKUP(A23,'CAC and HP Upgrades'!$B$141:$R$176,17,0)</f>
        <v>26.10299118070888</v>
      </c>
    </row>
    <row r="24" spans="1:37" ht="67.5">
      <c r="A24" s="88" t="str">
        <f>'CAC and HP Upgrades'!B161</f>
        <v>SGC Manufactured Home HP Upgrade w/PTCS  - Zone 2 Heat - Zone 1 Cool</v>
      </c>
      <c r="B24" s="81" t="str">
        <f>VLOOKUP($A24,LookupTable!$A$3:$D$38,2,0)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24" s="81" t="str">
        <f>VLOOKUP($A24,LookupTable!$A$3:$D$38,3,0)</f>
        <v>Super Good Cents Manufactured Home with existing or proposed central air conditioning system</v>
      </c>
      <c r="D24" s="81" t="str">
        <f>VLOOKUP($A24,LookupTable!$A$3:$D$38,4,0)</f>
        <v>Heating Zone 2 - Cooling Zone 1</v>
      </c>
      <c r="E24" s="82">
        <f>'CAC and HP Upgrades'!E161</f>
        <v>900.16</v>
      </c>
      <c r="F24" s="82">
        <f>'CAC and HP Upgrades'!F161</f>
        <v>0.794533569708932</v>
      </c>
      <c r="G24" s="82">
        <f>'CAC and HP Upgrades'!G161</f>
        <v>15.024137496948242</v>
      </c>
      <c r="H24" s="83">
        <f>'CAC and HP Upgrades'!C161</f>
        <v>18</v>
      </c>
      <c r="I24" s="83" t="s">
        <v>157</v>
      </c>
      <c r="J24" s="83">
        <f>'CAC and HP Upgrades'!D161</f>
        <v>2917.861811888426</v>
      </c>
      <c r="K24" s="83">
        <f>'CAC and HP Upgrades'!K161</f>
        <v>3140.3487750449185</v>
      </c>
      <c r="L24" s="85">
        <f>'CAC and HP Upgrades'!J161</f>
        <v>0.3427010774612427</v>
      </c>
      <c r="M24" s="85">
        <f>'CAC and HP Upgrades'!L161</f>
        <v>0.7775568936683586</v>
      </c>
      <c r="N24" s="89">
        <f>'CAC and HP Upgrades'!N161/'CAC and HP Upgrades'!K161</f>
        <v>0.28664229885235093</v>
      </c>
      <c r="O24" s="89">
        <f>('CAC and HP Upgrades'!O161/'CAC and HP Upgrades'!$K161)</f>
        <v>0.0030161863463551157</v>
      </c>
      <c r="P24" s="89">
        <f>('CAC and HP Upgrades'!P161/'CAC and HP Upgrades'!$K161)</f>
        <v>0.004784225757450569</v>
      </c>
      <c r="Q24" s="89">
        <f>('CAC and HP Upgrades'!N161/'CAC and HP Upgrades'!$K161)</f>
        <v>0.28664229885235093</v>
      </c>
      <c r="R24" s="84">
        <f>'CAC and HP Upgrades'!S161/'CAC and HP Upgrades'!$K161</f>
        <v>0.35291326432072184</v>
      </c>
      <c r="S24" s="84">
        <f>'CAC and HP Upgrades'!T161/'CAC and HP Upgrades'!$K161</f>
        <v>0.008855220616707741</v>
      </c>
      <c r="T24" s="84">
        <f>'CAC and HP Upgrades'!U161/'CAC and HP Upgrades'!$K161</f>
        <v>0.052541657652871165</v>
      </c>
      <c r="U24" s="84">
        <f>'CAC and HP Upgrades'!V161/'CAC and HP Upgrades'!$K161</f>
        <v>0.4139085917226829</v>
      </c>
      <c r="V24" s="84">
        <f t="shared" si="0"/>
        <v>0.12726629287033198</v>
      </c>
      <c r="W24" s="85">
        <f t="shared" si="1"/>
        <v>1.4439899253525268</v>
      </c>
      <c r="X24" s="85">
        <f>'CAC and HP Upgrades'!Y161/'CAC and HP Upgrades'!D161</f>
        <v>0.1849449472313667</v>
      </c>
      <c r="Y24" s="90">
        <f>'CAC and HP Upgrades'!M161</f>
        <v>2.2633583545684814</v>
      </c>
      <c r="Z24" s="85">
        <f>'CAC and HP Upgrades'!Y161/'CAC and HP Upgrades'!K161</f>
        <v>0.17184199510463805</v>
      </c>
      <c r="AA24" s="84" t="s">
        <v>158</v>
      </c>
      <c r="AB24" s="91" t="s">
        <v>159</v>
      </c>
      <c r="AC24" s="84">
        <f>'CAC and HP Upgrades'!Z161/'CAC and HP Upgrades'!$K161</f>
        <v>0</v>
      </c>
      <c r="AD24" s="84">
        <f>'CAC and HP Upgrades'!AA161/'CAC and HP Upgrades'!$K161</f>
        <v>0</v>
      </c>
      <c r="AE24" s="84">
        <f>'CAC and HP Upgrades'!AC161/'CAC and HP Upgrades'!$K161</f>
        <v>0.29444271903143115</v>
      </c>
      <c r="AF24" s="84">
        <f>'CAC and HP Upgrades'!AB161/'CAC and HP Upgrades'!$K161</f>
        <v>0.5857506007797857</v>
      </c>
      <c r="AG24" s="84">
        <f t="shared" si="2"/>
        <v>0.29130788174835454</v>
      </c>
      <c r="AH24" s="85">
        <f t="shared" si="3"/>
        <v>1.9893533204237868</v>
      </c>
      <c r="AI24" s="96" t="s">
        <v>160</v>
      </c>
      <c r="AJ24" s="96" t="s">
        <v>161</v>
      </c>
      <c r="AK24" s="451">
        <f>VLOOKUP(A24,'CAC and HP Upgrades'!$B$141:$R$176,17,0)</f>
        <v>24.698863344719385</v>
      </c>
    </row>
    <row r="25" spans="1:37" ht="67.5">
      <c r="A25" s="88" t="str">
        <f>'CAC and HP Upgrades'!B162</f>
        <v>Post93 Manufactured Home NonSGC HP Upgrade w/PTCS  - Zone 1 Heat - Zone 1 Cool</v>
      </c>
      <c r="B25" s="81" t="str">
        <f>VLOOKUP($A25,LookupTable!$A$3:$D$38,2,0)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25" s="81" t="str">
        <f>VLOOKUP($A25,LookupTable!$A$3:$D$38,3,0)</f>
        <v>Non-Super Good Cents Manufactured Home with existing or proposed central air conditioning system built after 1993</v>
      </c>
      <c r="D25" s="81" t="str">
        <f>VLOOKUP($A25,LookupTable!$A$3:$D$38,4,0)</f>
        <v>Heating Zone 1 - Cooling Zone 1</v>
      </c>
      <c r="E25" s="82">
        <f>'CAC and HP Upgrades'!E162</f>
        <v>900.16</v>
      </c>
      <c r="F25" s="82">
        <f>'CAC and HP Upgrades'!F162</f>
        <v>0.794533569708932</v>
      </c>
      <c r="G25" s="82">
        <f>'CAC and HP Upgrades'!G162</f>
        <v>15.024137496948242</v>
      </c>
      <c r="H25" s="83">
        <f>'CAC and HP Upgrades'!C162</f>
        <v>18</v>
      </c>
      <c r="I25" s="83" t="s">
        <v>157</v>
      </c>
      <c r="J25" s="83">
        <f>'CAC and HP Upgrades'!D162</f>
        <v>2901.78369138554</v>
      </c>
      <c r="K25" s="83">
        <f>'CAC and HP Upgrades'!K162</f>
        <v>3123.044697853687</v>
      </c>
      <c r="L25" s="85">
        <f>'CAC and HP Upgrades'!J162</f>
        <v>0.3360516428947449</v>
      </c>
      <c r="M25" s="85">
        <f>'CAC and HP Upgrades'!L162</f>
        <v>0.7582685308472122</v>
      </c>
      <c r="N25" s="89">
        <f>'CAC and HP Upgrades'!N162/'CAC and HP Upgrades'!K162</f>
        <v>0.2882305183450216</v>
      </c>
      <c r="O25" s="89">
        <f>('CAC and HP Upgrades'!O162/'CAC and HP Upgrades'!$K162)</f>
        <v>0.003032898345833169</v>
      </c>
      <c r="P25" s="89">
        <f>('CAC and HP Upgrades'!P162/'CAC and HP Upgrades'!$K162)</f>
        <v>0.004810734059385568</v>
      </c>
      <c r="Q25" s="89">
        <f>('CAC and HP Upgrades'!N162/'CAC and HP Upgrades'!$K162)</f>
        <v>0.2882305183450216</v>
      </c>
      <c r="R25" s="84">
        <f>'CAC and HP Upgrades'!S162/'CAC and HP Upgrades'!$K162</f>
        <v>0.3427742996601394</v>
      </c>
      <c r="S25" s="84">
        <f>'CAC and HP Upgrades'!T162/'CAC and HP Upgrades'!$K162</f>
        <v>0.008683402536549006</v>
      </c>
      <c r="T25" s="84">
        <f>'CAC and HP Upgrades'!U162/'CAC and HP Upgrades'!$K162</f>
        <v>0.05148960945616739</v>
      </c>
      <c r="U25" s="84">
        <f>'CAC and HP Upgrades'!V162/'CAC and HP Upgrades'!$K162</f>
        <v>0.4025535531282927</v>
      </c>
      <c r="V25" s="84">
        <f t="shared" si="0"/>
        <v>0.1143230347832711</v>
      </c>
      <c r="W25" s="85">
        <f t="shared" si="1"/>
        <v>1.3966375088928737</v>
      </c>
      <c r="X25" s="85">
        <f>'CAC and HP Upgrades'!Y162/'CAC and HP Upgrades'!D162</f>
        <v>0.18469977719587444</v>
      </c>
      <c r="Y25" s="90">
        <f>'CAC and HP Upgrades'!M162</f>
        <v>2.247903347015381</v>
      </c>
      <c r="Z25" s="85">
        <f>'CAC and HP Upgrades'!Y162/'CAC and HP Upgrades'!K162</f>
        <v>0.1716141948393723</v>
      </c>
      <c r="AA25" s="84" t="s">
        <v>158</v>
      </c>
      <c r="AB25" s="91" t="s">
        <v>159</v>
      </c>
      <c r="AC25" s="84">
        <f>'CAC and HP Upgrades'!Z162/'CAC and HP Upgrades'!$K162</f>
        <v>0</v>
      </c>
      <c r="AD25" s="84">
        <f>'CAC and HP Upgrades'!AA162/'CAC and HP Upgrades'!$K162</f>
        <v>0</v>
      </c>
      <c r="AE25" s="84">
        <f>'CAC and HP Upgrades'!AC162/'CAC and HP Upgrades'!$K162</f>
        <v>0.2960741588702582</v>
      </c>
      <c r="AF25" s="84">
        <f>'CAC and HP Upgrades'!AB162/'CAC and HP Upgrades'!$K162</f>
        <v>0.5741677314097221</v>
      </c>
      <c r="AG25" s="84">
        <f t="shared" si="2"/>
        <v>0.27809357253946393</v>
      </c>
      <c r="AH25" s="85">
        <f t="shared" si="3"/>
        <v>1.939269991006971</v>
      </c>
      <c r="AI25" s="96" t="s">
        <v>160</v>
      </c>
      <c r="AJ25" s="96" t="s">
        <v>161</v>
      </c>
      <c r="AK25" s="451">
        <f>VLOOKUP(A25,'CAC and HP Upgrades'!$B$141:$R$176,17,0)</f>
        <v>24.835714103898855</v>
      </c>
    </row>
    <row r="26" spans="1:37" ht="67.5">
      <c r="A26" s="88" t="str">
        <f>'CAC and HP Upgrades'!B163</f>
        <v>Pre94 Manufactured Home HP Upgrade w/PTCS  - Zone 1 Heat - Zone 2 Cool</v>
      </c>
      <c r="B26" s="81" t="str">
        <f>VLOOKUP($A26,LookupTable!$A$3:$D$38,2,0)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26" s="81" t="str">
        <f>VLOOKUP($A26,LookupTable!$A$3:$D$38,3,0)</f>
        <v>Manufactured Home with existing central air conditioning system built prior to 1994</v>
      </c>
      <c r="D26" s="81" t="str">
        <f>VLOOKUP($A26,LookupTable!$A$3:$D$38,4,0)</f>
        <v>Heating Zone 1 - Cooling Zone 2</v>
      </c>
      <c r="E26" s="82">
        <f>'CAC and HP Upgrades'!E163</f>
        <v>900.16</v>
      </c>
      <c r="F26" s="82">
        <f>'CAC and HP Upgrades'!F163</f>
        <v>0.794533569708932</v>
      </c>
      <c r="G26" s="82">
        <f>'CAC and HP Upgrades'!G163</f>
        <v>15.024137496948242</v>
      </c>
      <c r="H26" s="83">
        <f>'CAC and HP Upgrades'!C163</f>
        <v>18</v>
      </c>
      <c r="I26" s="83" t="s">
        <v>157</v>
      </c>
      <c r="J26" s="83">
        <f>'CAC and HP Upgrades'!D163</f>
        <v>2534.2054072149895</v>
      </c>
      <c r="K26" s="83">
        <f>'CAC and HP Upgrades'!K163</f>
        <v>2727.4385695151323</v>
      </c>
      <c r="L26" s="85">
        <f>'CAC and HP Upgrades'!J163</f>
        <v>0.3021695017814636</v>
      </c>
      <c r="M26" s="85">
        <f>'CAC and HP Upgrades'!L163</f>
        <v>0.595448780250112</v>
      </c>
      <c r="N26" s="89">
        <f>'CAC and HP Upgrades'!N163/'CAC and HP Upgrades'!K163</f>
        <v>0.33003742124137525</v>
      </c>
      <c r="O26" s="89">
        <f>('CAC and HP Upgrades'!O163/'CAC and HP Upgrades'!$K163)</f>
        <v>0.0034728104251188874</v>
      </c>
      <c r="P26" s="89">
        <f>('CAC and HP Upgrades'!P163/'CAC and HP Upgrades'!$K163)</f>
        <v>0.005508515449211068</v>
      </c>
      <c r="Q26" s="89">
        <f>('CAC and HP Upgrades'!N163/'CAC and HP Upgrades'!$K163)</f>
        <v>0.33003742124137525</v>
      </c>
      <c r="R26" s="84">
        <f>'CAC and HP Upgrades'!S163/'CAC and HP Upgrades'!$K163</f>
        <v>0.3707025985147201</v>
      </c>
      <c r="S26" s="84">
        <f>'CAC and HP Upgrades'!T163/'CAC and HP Upgrades'!$K163</f>
        <v>0.007807905210276745</v>
      </c>
      <c r="T26" s="84">
        <f>'CAC and HP Upgrades'!U163/'CAC and HP Upgrades'!$K163</f>
        <v>0.05408807296749868</v>
      </c>
      <c r="U26" s="84">
        <f>'CAC and HP Upgrades'!V163/'CAC and HP Upgrades'!$K163</f>
        <v>0.43224451676893216</v>
      </c>
      <c r="V26" s="84">
        <f t="shared" si="0"/>
        <v>0.10220709552755691</v>
      </c>
      <c r="W26" s="85">
        <f t="shared" si="1"/>
        <v>1.3096833539152126</v>
      </c>
      <c r="X26" s="85">
        <f>'CAC and HP Upgrades'!Y163/'CAC and HP Upgrades'!D163</f>
        <v>0.18345076337549865</v>
      </c>
      <c r="Y26" s="90">
        <f>'CAC and HP Upgrades'!M163</f>
        <v>1.949878215789795</v>
      </c>
      <c r="Z26" s="85">
        <f>'CAC and HP Upgrades'!Y163/'CAC and HP Upgrades'!K163</f>
        <v>0.17045367096445868</v>
      </c>
      <c r="AA26" s="84" t="s">
        <v>158</v>
      </c>
      <c r="AB26" s="91" t="s">
        <v>159</v>
      </c>
      <c r="AC26" s="84">
        <f>'CAC and HP Upgrades'!Z163/'CAC and HP Upgrades'!$K163</f>
        <v>0</v>
      </c>
      <c r="AD26" s="84">
        <f>'CAC and HP Upgrades'!AA163/'CAC and HP Upgrades'!$K163</f>
        <v>0</v>
      </c>
      <c r="AE26" s="84">
        <f>'CAC and HP Upgrades'!AC163/'CAC and HP Upgrades'!$K163</f>
        <v>0.3390187564135053</v>
      </c>
      <c r="AF26" s="84">
        <f>'CAC and HP Upgrades'!AB163/'CAC and HP Upgrades'!$K163</f>
        <v>0.6026981813626068</v>
      </c>
      <c r="AG26" s="84">
        <f t="shared" si="2"/>
        <v>0.26367942494910146</v>
      </c>
      <c r="AH26" s="85">
        <f t="shared" si="3"/>
        <v>1.7777723797307794</v>
      </c>
      <c r="AI26" s="96" t="s">
        <v>160</v>
      </c>
      <c r="AJ26" s="96" t="s">
        <v>161</v>
      </c>
      <c r="AK26" s="451">
        <f>VLOOKUP(A26,'CAC and HP Upgrades'!$B$141:$R$176,17,0)</f>
        <v>28.438053973615272</v>
      </c>
    </row>
    <row r="27" spans="1:37" ht="67.5">
      <c r="A27" s="88" t="str">
        <f>'CAC and HP Upgrades'!B164</f>
        <v>SGC Manufactured Home HP Upgrade w/PTCS  - Zone 1 Heat - Zone 3 Cool</v>
      </c>
      <c r="B27" s="81" t="str">
        <f>VLOOKUP($A27,LookupTable!$A$3:$D$38,2,0)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27" s="81" t="str">
        <f>VLOOKUP($A27,LookupTable!$A$3:$D$38,3,0)</f>
        <v>Super Good Cents Manufactured Home with existing or proposed central air conditioning system</v>
      </c>
      <c r="D27" s="81" t="str">
        <f>VLOOKUP($A27,LookupTable!$A$3:$D$38,4,0)</f>
        <v>Heating Zone 1 - Cooling Zone 3</v>
      </c>
      <c r="E27" s="82">
        <f>'CAC and HP Upgrades'!E164</f>
        <v>900.16</v>
      </c>
      <c r="F27" s="82">
        <f>'CAC and HP Upgrades'!F164</f>
        <v>0.794533569708932</v>
      </c>
      <c r="G27" s="82">
        <f>'CAC and HP Upgrades'!G164</f>
        <v>15.024137496948242</v>
      </c>
      <c r="H27" s="83">
        <f>'CAC and HP Upgrades'!C164</f>
        <v>18</v>
      </c>
      <c r="I27" s="83" t="s">
        <v>157</v>
      </c>
      <c r="J27" s="83">
        <f>'CAC and HP Upgrades'!D164</f>
        <v>2237.4833066808915</v>
      </c>
      <c r="K27" s="83">
        <f>'CAC and HP Upgrades'!K164</f>
        <v>2408.0914088153095</v>
      </c>
      <c r="L27" s="85">
        <f>'CAC and HP Upgrades'!J164</f>
        <v>0.2823711931705475</v>
      </c>
      <c r="M27" s="85">
        <f>'CAC and HP Upgrades'!L164</f>
        <v>0.4912834881236853</v>
      </c>
      <c r="N27" s="89">
        <f>'CAC and HP Upgrades'!N164/'CAC and HP Upgrades'!K164</f>
        <v>0.37380507599579993</v>
      </c>
      <c r="O27" s="89">
        <f>('CAC and HP Upgrades'!O164/'CAC and HP Upgrades'!$K164)</f>
        <v>0.003933354466283862</v>
      </c>
      <c r="P27" s="89">
        <f>('CAC and HP Upgrades'!P164/'CAC and HP Upgrades'!$K164)</f>
        <v>0.006239022921617229</v>
      </c>
      <c r="Q27" s="89">
        <f>('CAC and HP Upgrades'!N164/'CAC and HP Upgrades'!$K164)</f>
        <v>0.37380507599579993</v>
      </c>
      <c r="R27" s="84">
        <f>'CAC and HP Upgrades'!S164/'CAC and HP Upgrades'!$K164</f>
        <v>0.40173334438415575</v>
      </c>
      <c r="S27" s="84">
        <f>'CAC and HP Upgrades'!T164/'CAC and HP Upgrades'!$K164</f>
        <v>0.007296327203483587</v>
      </c>
      <c r="T27" s="84">
        <f>'CAC and HP Upgrades'!U164/'CAC and HP Upgrades'!$K164</f>
        <v>0.05707756671682752</v>
      </c>
      <c r="U27" s="84">
        <f>'CAC and HP Upgrades'!V164/'CAC and HP Upgrades'!$K164</f>
        <v>0.4657763800820653</v>
      </c>
      <c r="V27" s="84">
        <f t="shared" si="0"/>
        <v>0.09197130408626536</v>
      </c>
      <c r="W27" s="85">
        <f t="shared" si="1"/>
        <v>1.2460408110865213</v>
      </c>
      <c r="X27" s="85">
        <f>'CAC and HP Upgrades'!Y164/'CAC and HP Upgrades'!D164</f>
        <v>0.1827209261190542</v>
      </c>
      <c r="Y27" s="90">
        <f>'CAC and HP Upgrades'!M164</f>
        <v>1.714723825454712</v>
      </c>
      <c r="Z27" s="85">
        <f>'CAC and HP Upgrades'!Y164/'CAC and HP Upgrades'!K164</f>
        <v>0.16977554110945803</v>
      </c>
      <c r="AA27" s="84" t="s">
        <v>158</v>
      </c>
      <c r="AB27" s="91" t="s">
        <v>159</v>
      </c>
      <c r="AC27" s="84">
        <f>'CAC and HP Upgrades'!Z164/'CAC and HP Upgrades'!$K164</f>
        <v>0</v>
      </c>
      <c r="AD27" s="84">
        <f>'CAC and HP Upgrades'!AA164/'CAC and HP Upgrades'!$K164</f>
        <v>0</v>
      </c>
      <c r="AE27" s="84">
        <f>'CAC and HP Upgrades'!AC164/'CAC and HP Upgrades'!$K164</f>
        <v>0.3839774639145216</v>
      </c>
      <c r="AF27" s="84">
        <f>'CAC and HP Upgrades'!AB164/'CAC and HP Upgrades'!$K164</f>
        <v>0.6355519385532253</v>
      </c>
      <c r="AG27" s="84">
        <f t="shared" si="2"/>
        <v>0.25157447463870375</v>
      </c>
      <c r="AH27" s="85">
        <f t="shared" si="3"/>
        <v>1.6551803120786992</v>
      </c>
      <c r="AI27" s="96" t="s">
        <v>160</v>
      </c>
      <c r="AJ27" s="96" t="s">
        <v>161</v>
      </c>
      <c r="AK27" s="451">
        <f>VLOOKUP(A27,'CAC and HP Upgrades'!$B$141:$R$176,17,0)</f>
        <v>32.20934428222119</v>
      </c>
    </row>
    <row r="28" spans="1:37" ht="67.5">
      <c r="A28" s="88" t="str">
        <f>'CAC and HP Upgrades'!B165</f>
        <v>Pre94 Manufactured Home HP Upgrade w/PTCS  - Zone 1 Heat - Zone 1 Cool</v>
      </c>
      <c r="B28" s="81" t="str">
        <f>VLOOKUP($A28,LookupTable!$A$3:$D$38,2,0)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28" s="81" t="str">
        <f>VLOOKUP($A28,LookupTable!$A$3:$D$38,3,0)</f>
        <v>Manufactured Home with existing central air conditioning system built prior to 1994</v>
      </c>
      <c r="D28" s="81" t="str">
        <f>VLOOKUP($A28,LookupTable!$A$3:$D$38,4,0)</f>
        <v>Heating Zone 1 - Cooling Zone 1</v>
      </c>
      <c r="E28" s="82">
        <f>'CAC and HP Upgrades'!E165</f>
        <v>900.16</v>
      </c>
      <c r="F28" s="82">
        <f>'CAC and HP Upgrades'!F165</f>
        <v>0.794533569708932</v>
      </c>
      <c r="G28" s="82">
        <f>'CAC and HP Upgrades'!G165</f>
        <v>15.024137496948242</v>
      </c>
      <c r="H28" s="83">
        <f>'CAC and HP Upgrades'!C165</f>
        <v>18</v>
      </c>
      <c r="I28" s="83" t="s">
        <v>157</v>
      </c>
      <c r="J28" s="83">
        <f>'CAC and HP Upgrades'!D165</f>
        <v>2364.636091193455</v>
      </c>
      <c r="K28" s="83">
        <f>'CAC and HP Upgrades'!K165</f>
        <v>2544.9395931469553</v>
      </c>
      <c r="L28" s="85">
        <f>'CAC and HP Upgrades'!J165</f>
        <v>0.3238382339477539</v>
      </c>
      <c r="M28" s="85">
        <f>'CAC and HP Upgrades'!L165</f>
        <v>0.595448780250112</v>
      </c>
      <c r="N28" s="89">
        <f>'CAC and HP Upgrades'!N165/'CAC and HP Upgrades'!K165</f>
        <v>0.35370458084780987</v>
      </c>
      <c r="O28" s="89">
        <f>('CAC and HP Upgrades'!O165/'CAC and HP Upgrades'!$K165)</f>
        <v>0.0037218475140193834</v>
      </c>
      <c r="P28" s="89">
        <f>('CAC and HP Upgrades'!P165/'CAC and HP Upgrades'!$K165)</f>
        <v>0.005903534031772473</v>
      </c>
      <c r="Q28" s="89">
        <f>('CAC and HP Upgrades'!N165/'CAC and HP Upgrades'!$K165)</f>
        <v>0.35370458084780987</v>
      </c>
      <c r="R28" s="84">
        <f>'CAC and HP Upgrades'!S165/'CAC and HP Upgrades'!$K165</f>
        <v>0.35138777939096744</v>
      </c>
      <c r="S28" s="84">
        <f>'CAC and HP Upgrades'!T165/'CAC and HP Upgrades'!$K165</f>
        <v>0.008367814259706579</v>
      </c>
      <c r="T28" s="84">
        <f>'CAC and HP Upgrades'!U165/'CAC and HP Upgrades'!$K165</f>
        <v>0.05228089800371105</v>
      </c>
      <c r="U28" s="84">
        <f>'CAC and HP Upgrades'!V165/'CAC and HP Upgrades'!$K165</f>
        <v>0.4116570426542209</v>
      </c>
      <c r="V28" s="84">
        <f t="shared" si="0"/>
        <v>0.057952461806411004</v>
      </c>
      <c r="W28" s="85">
        <f t="shared" si="1"/>
        <v>1.1638442501013198</v>
      </c>
      <c r="X28" s="85">
        <f>'CAC and HP Upgrades'!Y165/'CAC and HP Upgrades'!D165</f>
        <v>0.18424956302008091</v>
      </c>
      <c r="Y28" s="90">
        <f>'CAC and HP Upgrades'!M165</f>
        <v>1.8273298740386963</v>
      </c>
      <c r="Z28" s="85">
        <f>'CAC and HP Upgrades'!Y165/'CAC and HP Upgrades'!K165</f>
        <v>0.17119587737057462</v>
      </c>
      <c r="AA28" s="84" t="s">
        <v>158</v>
      </c>
      <c r="AB28" s="91" t="s">
        <v>159</v>
      </c>
      <c r="AC28" s="84">
        <f>'CAC and HP Upgrades'!Z165/'CAC and HP Upgrades'!$K165</f>
        <v>0</v>
      </c>
      <c r="AD28" s="84">
        <f>'CAC and HP Upgrades'!AA165/'CAC and HP Upgrades'!$K165</f>
        <v>0</v>
      </c>
      <c r="AE28" s="84">
        <f>'CAC and HP Upgrades'!AC165/'CAC and HP Upgrades'!$K165</f>
        <v>0.36332997235815206</v>
      </c>
      <c r="AF28" s="84">
        <f>'CAC and HP Upgrades'!AB165/'CAC and HP Upgrades'!$K165</f>
        <v>0.5828529067831087</v>
      </c>
      <c r="AG28" s="84">
        <f t="shared" si="2"/>
        <v>0.21952293442495668</v>
      </c>
      <c r="AH28" s="85">
        <f t="shared" si="3"/>
        <v>1.6041971516970315</v>
      </c>
      <c r="AI28" s="96" t="s">
        <v>160</v>
      </c>
      <c r="AJ28" s="96" t="s">
        <v>161</v>
      </c>
      <c r="AK28" s="451">
        <f>VLOOKUP(A28,'CAC and HP Upgrades'!$B$141:$R$176,17,0)</f>
        <v>30.477362000439648</v>
      </c>
    </row>
    <row r="29" spans="1:37" ht="67.5">
      <c r="A29" s="88" t="str">
        <f>'CAC and HP Upgrades'!B166</f>
        <v>SGC Manufactured Home HP Upgrade w/PTCS  - Zone 1 Heat - Zone 2 Cool</v>
      </c>
      <c r="B29" s="81" t="str">
        <f>VLOOKUP($A29,LookupTable!$A$3:$D$38,2,0)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29" s="81" t="str">
        <f>VLOOKUP($A29,LookupTable!$A$3:$D$38,3,0)</f>
        <v>Super Good Cents Manufactured Home with existing or proposed central air conditioning system</v>
      </c>
      <c r="D29" s="81" t="str">
        <f>VLOOKUP($A29,LookupTable!$A$3:$D$38,4,0)</f>
        <v>Heating Zone 1 - Cooling Zone 2</v>
      </c>
      <c r="E29" s="82">
        <f>'CAC and HP Upgrades'!E166</f>
        <v>900.16</v>
      </c>
      <c r="F29" s="82">
        <f>'CAC and HP Upgrades'!F166</f>
        <v>0.794533569708932</v>
      </c>
      <c r="G29" s="82">
        <f>'CAC and HP Upgrades'!G166</f>
        <v>15.024137496948242</v>
      </c>
      <c r="H29" s="83">
        <f>'CAC and HP Upgrades'!C166</f>
        <v>18</v>
      </c>
      <c r="I29" s="83" t="s">
        <v>157</v>
      </c>
      <c r="J29" s="83">
        <f>'CAC and HP Upgrades'!D166</f>
        <v>1994.390240537583</v>
      </c>
      <c r="K29" s="83">
        <f>'CAC and HP Upgrades'!K166</f>
        <v>2146.4624963785736</v>
      </c>
      <c r="L29" s="85">
        <f>'CAC and HP Upgrades'!J166</f>
        <v>0.3167889714241028</v>
      </c>
      <c r="M29" s="85">
        <f>'CAC and HP Upgrades'!L166</f>
        <v>0.4912834881236853</v>
      </c>
      <c r="N29" s="89">
        <f>'CAC and HP Upgrades'!N166/'CAC and HP Upgrades'!K166</f>
        <v>0.4193675843839566</v>
      </c>
      <c r="O29" s="89">
        <f>('CAC and HP Upgrades'!O166/'CAC and HP Upgrades'!$K166)</f>
        <v>0.004412784809454659</v>
      </c>
      <c r="P29" s="89">
        <f>('CAC and HP Upgrades'!P166/'CAC and HP Upgrades'!$K166)</f>
        <v>0.00699948753928679</v>
      </c>
      <c r="Q29" s="89">
        <f>('CAC and HP Upgrades'!N166/'CAC and HP Upgrades'!$K166)</f>
        <v>0.4193675843839566</v>
      </c>
      <c r="R29" s="84">
        <f>'CAC and HP Upgrades'!S166/'CAC and HP Upgrades'!$K166</f>
        <v>0.3592762211491417</v>
      </c>
      <c r="S29" s="84">
        <f>'CAC and HP Upgrades'!T166/'CAC and HP Upgrades'!$K166</f>
        <v>0.008185664964684005</v>
      </c>
      <c r="T29" s="84">
        <f>'CAC and HP Upgrades'!U166/'CAC and HP Upgrades'!$K166</f>
        <v>0.05302930245815549</v>
      </c>
      <c r="U29" s="84">
        <f>'CAC and HP Upgrades'!V166/'CAC and HP Upgrades'!$K166</f>
        <v>0.4201199998993205</v>
      </c>
      <c r="V29" s="84">
        <f t="shared" si="0"/>
        <v>0.000752415515363869</v>
      </c>
      <c r="W29" s="85">
        <f t="shared" si="1"/>
        <v>1.0017941670824873</v>
      </c>
      <c r="X29" s="85">
        <f>'CAC and HP Upgrades'!Y166/'CAC and HP Upgrades'!D166</f>
        <v>0.18398971709953232</v>
      </c>
      <c r="Y29" s="90">
        <f>'CAC and HP Upgrades'!M166</f>
        <v>1.5390396118164062</v>
      </c>
      <c r="Z29" s="85">
        <f>'CAC and HP Upgrades'!Y166/'CAC and HP Upgrades'!K166</f>
        <v>0.17095444097517523</v>
      </c>
      <c r="AA29" s="84" t="s">
        <v>158</v>
      </c>
      <c r="AB29" s="91" t="s">
        <v>159</v>
      </c>
      <c r="AC29" s="84">
        <f>'CAC and HP Upgrades'!Z166/'CAC and HP Upgrades'!$K166</f>
        <v>0</v>
      </c>
      <c r="AD29" s="84">
        <f>'CAC and HP Upgrades'!AA166/'CAC and HP Upgrades'!$K166</f>
        <v>0</v>
      </c>
      <c r="AE29" s="84">
        <f>'CAC and HP Upgrades'!AC166/'CAC and HP Upgrades'!$K166</f>
        <v>0.4307798685471037</v>
      </c>
      <c r="AF29" s="84">
        <f>'CAC and HP Upgrades'!AB166/'CAC and HP Upgrades'!$K166</f>
        <v>0.591074439153477</v>
      </c>
      <c r="AG29" s="84">
        <f t="shared" si="2"/>
        <v>0.1602945706063733</v>
      </c>
      <c r="AH29" s="85">
        <f t="shared" si="3"/>
        <v>1.372103207020794</v>
      </c>
      <c r="AI29" s="96" t="s">
        <v>160</v>
      </c>
      <c r="AJ29" s="96" t="s">
        <v>161</v>
      </c>
      <c r="AK29" s="451">
        <f>VLOOKUP(A29,'CAC and HP Upgrades'!$B$141:$R$176,17,0)</f>
        <v>36.135290218418746</v>
      </c>
    </row>
    <row r="30" spans="1:37" ht="67.5">
      <c r="A30" s="88" t="str">
        <f>'CAC and HP Upgrades'!B167</f>
        <v>SGC Manufactured Home HP Upgrade w/PTCS  - Zone 1 Heat - Zone 1 Cool</v>
      </c>
      <c r="B30" s="81" t="str">
        <f>VLOOKUP($A30,LookupTable!$A$3:$D$38,2,0)</f>
        <v>Heat Pump must be rated HSPF 8.0 and SEER 12 or higher and be installed in substantial compliance with  the applicable specifications for Air Source Heating Pump Installation provided in the RTF's Appendix H - "Air Source Heat Pump Installation Standards." Duct systems and heat pump installation must be PTCS(tm) or equivalent certified. </v>
      </c>
      <c r="C30" s="81" t="str">
        <f>VLOOKUP($A30,LookupTable!$A$3:$D$38,3,0)</f>
        <v>Super Good Cents Manufactured Home with existing or proposed central air conditioning system</v>
      </c>
      <c r="D30" s="81" t="str">
        <f>VLOOKUP($A30,LookupTable!$A$3:$D$38,4,0)</f>
        <v>Heating Zone 1 - Cooling Zone 1</v>
      </c>
      <c r="E30" s="82">
        <f>'CAC and HP Upgrades'!E167</f>
        <v>900.16</v>
      </c>
      <c r="F30" s="82">
        <f>'CAC and HP Upgrades'!F167</f>
        <v>0.794533569708932</v>
      </c>
      <c r="G30" s="82">
        <f>'CAC and HP Upgrades'!G167</f>
        <v>15.024137496948242</v>
      </c>
      <c r="H30" s="83">
        <f>'CAC and HP Upgrades'!C167</f>
        <v>18</v>
      </c>
      <c r="I30" s="83" t="s">
        <v>157</v>
      </c>
      <c r="J30" s="83">
        <f>'CAC and HP Upgrades'!D167</f>
        <v>1880.8094302921247</v>
      </c>
      <c r="K30" s="83">
        <f>'CAC and HP Upgrades'!K167</f>
        <v>2024.2211493518992</v>
      </c>
      <c r="L30" s="85">
        <f>'CAC and HP Upgrades'!J167</f>
        <v>0.33591964840888977</v>
      </c>
      <c r="M30" s="85">
        <f>'CAC and HP Upgrades'!L167</f>
        <v>0.4912834881236853</v>
      </c>
      <c r="N30" s="89">
        <f>'CAC and HP Upgrades'!N167/'CAC and HP Upgrades'!K167</f>
        <v>0.4446929093519478</v>
      </c>
      <c r="O30" s="89">
        <f>('CAC and HP Upgrades'!O167/'CAC and HP Upgrades'!$K167)</f>
        <v>0.00467926990147106</v>
      </c>
      <c r="P30" s="89">
        <f>('CAC and HP Upgrades'!P167/'CAC and HP Upgrades'!$K167)</f>
        <v>0.007422181860790539</v>
      </c>
      <c r="Q30" s="89">
        <f>('CAC and HP Upgrades'!N167/'CAC and HP Upgrades'!$K167)</f>
        <v>0.4446929093519478</v>
      </c>
      <c r="R30" s="84">
        <f>'CAC and HP Upgrades'!S167/'CAC and HP Upgrades'!$K167</f>
        <v>0.3428673922559731</v>
      </c>
      <c r="S30" s="84">
        <f>'CAC and HP Upgrades'!T167/'CAC and HP Upgrades'!$K167</f>
        <v>0.008679991739163366</v>
      </c>
      <c r="T30" s="84">
        <f>'CAC and HP Upgrades'!U167/'CAC and HP Upgrades'!$K167</f>
        <v>0.05149816524015155</v>
      </c>
      <c r="U30" s="84">
        <f>'CAC and HP Upgrades'!V167/'CAC and HP Upgrades'!$K167</f>
        <v>0.4026519470852313</v>
      </c>
      <c r="V30" s="84">
        <f t="shared" si="0"/>
        <v>-0.0420409622667165</v>
      </c>
      <c r="W30" s="85">
        <f t="shared" si="1"/>
        <v>0.9054606867287744</v>
      </c>
      <c r="X30" s="85">
        <f>'CAC and HP Upgrades'!Y167/'CAC and HP Upgrades'!D167</f>
        <v>0.18469496802964364</v>
      </c>
      <c r="Y30" s="90">
        <f>'CAC and HP Upgrades'!M167</f>
        <v>1.4569543600082397</v>
      </c>
      <c r="Z30" s="85">
        <f>'CAC and HP Upgrades'!Y167/'CAC and HP Upgrades'!K167</f>
        <v>0.17160972639223568</v>
      </c>
      <c r="AA30" s="84" t="s">
        <v>158</v>
      </c>
      <c r="AB30" s="91" t="s">
        <v>159</v>
      </c>
      <c r="AC30" s="84">
        <f>'CAC and HP Upgrades'!Z167/'CAC and HP Upgrades'!$K167</f>
        <v>0</v>
      </c>
      <c r="AD30" s="84">
        <f>'CAC and HP Upgrades'!AA167/'CAC and HP Upgrades'!$K167</f>
        <v>0</v>
      </c>
      <c r="AE30" s="84">
        <f>'CAC and HP Upgrades'!AC167/'CAC and HP Upgrades'!$K167</f>
        <v>0.456794373642079</v>
      </c>
      <c r="AF30" s="84">
        <f>'CAC and HP Upgrades'!AB167/'CAC and HP Upgrades'!$K167</f>
        <v>0.5742616697586029</v>
      </c>
      <c r="AG30" s="84">
        <f t="shared" si="2"/>
        <v>0.11746729611652396</v>
      </c>
      <c r="AH30" s="85">
        <f t="shared" si="3"/>
        <v>1.2571557420463444</v>
      </c>
      <c r="AI30" s="96" t="s">
        <v>160</v>
      </c>
      <c r="AJ30" s="96" t="s">
        <v>161</v>
      </c>
      <c r="AK30" s="451">
        <f>VLOOKUP(A30,'CAC and HP Upgrades'!$B$141:$R$176,17,0)</f>
        <v>38.31747597065911</v>
      </c>
    </row>
    <row r="31" spans="1:37" ht="67.5">
      <c r="A31" s="88" t="str">
        <f>'CAC and HP Upgrades'!B168</f>
        <v>Post93 Manufactured Home NonSGC CAC Upgrade SEER w/PTCS - Cooling Zone 3</v>
      </c>
      <c r="B31" s="81" t="str">
        <f>VLOOKUP($A31,LookupTable!$A$3:$D$38,2,0)</f>
        <v>Central AC must be rated SEER 12 or higher and be installed in substantial compliance with  the applicable specifications for Air Source Heating Pump Installation provided in the RTF's Appendix H - "Air Source Heat Pump Installation Standards." Duct systems and Air Conditioner installaion must be PTCS(tm) or equivalent certified.</v>
      </c>
      <c r="C31" s="81" t="str">
        <f>VLOOKUP($A31,LookupTable!$A$3:$D$38,3,0)</f>
        <v>Non-Super Good Cents Manufactured Home with existing or proposed central air conditioning system built after 1993</v>
      </c>
      <c r="D31" s="81" t="str">
        <f>VLOOKUP($A31,LookupTable!$A$3:$D$38,4,0)</f>
        <v>Cooling Zone 3</v>
      </c>
      <c r="E31" s="82">
        <f>'CAC and HP Upgrades'!E168</f>
        <v>646</v>
      </c>
      <c r="F31" s="82">
        <f>'CAC and HP Upgrades'!F168</f>
        <v>0.3</v>
      </c>
      <c r="G31" s="82">
        <f>'CAC and HP Upgrades'!G168</f>
        <v>0.9390273094177246</v>
      </c>
      <c r="H31" s="83">
        <f>'CAC and HP Upgrades'!C168</f>
        <v>18</v>
      </c>
      <c r="I31" s="83" t="s">
        <v>157</v>
      </c>
      <c r="J31" s="83">
        <f>'CAC and HP Upgrades'!D168</f>
        <v>644.8773394162517</v>
      </c>
      <c r="K31" s="83">
        <f>'CAC and HP Upgrades'!K168</f>
        <v>694.0492365467409</v>
      </c>
      <c r="L31" s="85">
        <f>'CAC and HP Upgrades'!J168</f>
        <v>0</v>
      </c>
      <c r="M31" s="85">
        <f>'CAC and HP Upgrades'!L168</f>
        <v>0</v>
      </c>
      <c r="N31" s="89">
        <f>'CAC and HP Upgrades'!N168/'CAC and HP Upgrades'!K168</f>
        <v>0.9307654325191083</v>
      </c>
      <c r="O31" s="89">
        <f>('CAC and HP Upgrades'!O168/'CAC and HP Upgrades'!$K168)</f>
        <v>0.005116865786237032</v>
      </c>
      <c r="P31" s="89">
        <f>('CAC and HP Upgrades'!P168/'CAC and HP Upgrades'!$K168)</f>
        <v>0.0013529692995411654</v>
      </c>
      <c r="Q31" s="89">
        <f>('CAC and HP Upgrades'!N168/'CAC and HP Upgrades'!$K168)</f>
        <v>0.9307654325191083</v>
      </c>
      <c r="R31" s="84">
        <f>'CAC and HP Upgrades'!S168/'CAC and HP Upgrades'!$K168</f>
        <v>0.6829130196863492</v>
      </c>
      <c r="S31" s="84">
        <f>'CAC and HP Upgrades'!T168/'CAC and HP Upgrades'!$K168</f>
        <v>0</v>
      </c>
      <c r="T31" s="84">
        <f>'CAC and HP Upgrades'!U168/'CAC and HP Upgrades'!$K168</f>
        <v>0.08357564329050499</v>
      </c>
      <c r="U31" s="84">
        <f>'CAC and HP Upgrades'!V168/'CAC and HP Upgrades'!$K168</f>
        <v>0.7664886629768541</v>
      </c>
      <c r="V31" s="84">
        <f aca="true" t="shared" si="4" ref="V31:V39">U31-Q31</f>
        <v>-0.16427676954225412</v>
      </c>
      <c r="W31" s="85">
        <f aca="true" t="shared" si="5" ref="W31:W39">U31/Q31</f>
        <v>0.8235035769456537</v>
      </c>
      <c r="X31" s="85">
        <f>'CAC and HP Upgrades'!Y168/'CAC and HP Upgrades'!D168</f>
        <v>0.17231138141833574</v>
      </c>
      <c r="Y31" s="90">
        <f>'CAC and HP Upgrades'!M168</f>
        <v>0.46605509519577026</v>
      </c>
      <c r="Z31" s="85">
        <f>'CAC and HP Upgrades'!Y168/'CAC and HP Upgrades'!K168</f>
        <v>0.16010349028416795</v>
      </c>
      <c r="AA31" s="84" t="s">
        <v>158</v>
      </c>
      <c r="AB31" s="91" t="s">
        <v>159</v>
      </c>
      <c r="AC31" s="84">
        <f>'CAC and HP Upgrades'!Z168/'CAC and HP Upgrades'!$K168</f>
        <v>0</v>
      </c>
      <c r="AD31" s="84">
        <f>'CAC and HP Upgrades'!AA168/'CAC and HP Upgrades'!$K168</f>
        <v>0</v>
      </c>
      <c r="AE31" s="84">
        <f>'CAC and HP Upgrades'!AC168/'CAC and HP Upgrades'!$K168</f>
        <v>0.9372352745380554</v>
      </c>
      <c r="AF31" s="84">
        <f>'CAC and HP Upgrades'!AB168/'CAC and HP Upgrades'!$K168</f>
        <v>0.9265921667708517</v>
      </c>
      <c r="AG31" s="84">
        <f aca="true" t="shared" si="6" ref="AG31:AG39">AF31-AE31</f>
        <v>-0.010643107767203785</v>
      </c>
      <c r="AH31" s="85">
        <f aca="true" t="shared" si="7" ref="AH31:AH39">AF31/AE31</f>
        <v>0.9886441451187915</v>
      </c>
      <c r="AI31" s="96" t="s">
        <v>160</v>
      </c>
      <c r="AJ31" s="96" t="s">
        <v>161</v>
      </c>
      <c r="AK31" s="451">
        <f>VLOOKUP(A31,'CAC and HP Upgrades'!$B$141:$R$176,17,0)</f>
        <v>78.61850656404609</v>
      </c>
    </row>
    <row r="32" spans="1:37" ht="67.5">
      <c r="A32" s="88" t="str">
        <f>'CAC and HP Upgrades'!B169</f>
        <v>Pre94 Manufactured Home CAC Upgrade SEER w/PTCS - Cooling Zone 3</v>
      </c>
      <c r="B32" s="81" t="str">
        <f>VLOOKUP($A32,LookupTable!$A$3:$D$38,2,0)</f>
        <v>Central AC must be rated SEER 12 or higher and be installed in substantial compliance with  the applicable specifications for Air Source Heating Pump Installation provided in the RTF's Appendix H - "Air Source Heat Pump Installation Standards." Duct systems and Air Conditioner installaion must be PTCS(tm) or equivalent certified.</v>
      </c>
      <c r="C32" s="81" t="str">
        <f>VLOOKUP($A32,LookupTable!$A$3:$D$38,3,0)</f>
        <v>Manufactured Home with existing central air conditioning system built prior to 1994</v>
      </c>
      <c r="D32" s="81" t="str">
        <f>VLOOKUP($A32,LookupTable!$A$3:$D$38,4,0)</f>
        <v>Cooling Zone 3</v>
      </c>
      <c r="E32" s="82">
        <f>'CAC and HP Upgrades'!E169</f>
        <v>646</v>
      </c>
      <c r="F32" s="82">
        <f>'CAC and HP Upgrades'!F169</f>
        <v>0.3</v>
      </c>
      <c r="G32" s="82">
        <f>'CAC and HP Upgrades'!G169</f>
        <v>0.9390273094177246</v>
      </c>
      <c r="H32" s="83">
        <f>'CAC and HP Upgrades'!C169</f>
        <v>18</v>
      </c>
      <c r="I32" s="83" t="s">
        <v>157</v>
      </c>
      <c r="J32" s="83">
        <f>'CAC and HP Upgrades'!D169</f>
        <v>603.8353620363548</v>
      </c>
      <c r="K32" s="83">
        <f>'CAC and HP Upgrades'!K169</f>
        <v>649.8778083916268</v>
      </c>
      <c r="L32" s="85">
        <f>'CAC and HP Upgrades'!J169</f>
        <v>0</v>
      </c>
      <c r="M32" s="85">
        <f>'CAC and HP Upgrades'!L169</f>
        <v>0</v>
      </c>
      <c r="N32" s="89">
        <f>'CAC and HP Upgrades'!N169/'CAC and HP Upgrades'!K169</f>
        <v>0.9940284612006569</v>
      </c>
      <c r="O32" s="89">
        <f>('CAC and HP Upgrades'!O169/'CAC and HP Upgrades'!$K169)</f>
        <v>0.0054646531187749784</v>
      </c>
      <c r="P32" s="89">
        <f>('CAC and HP Upgrades'!P169/'CAC and HP Upgrades'!$K169)</f>
        <v>0.0014449290271069722</v>
      </c>
      <c r="Q32" s="89">
        <f>('CAC and HP Upgrades'!N169/'CAC and HP Upgrades'!$K169)</f>
        <v>0.9940284612006569</v>
      </c>
      <c r="R32" s="84">
        <f>'CAC and HP Upgrades'!S169/'CAC and HP Upgrades'!$K169</f>
        <v>0.682913019686349</v>
      </c>
      <c r="S32" s="84">
        <f>'CAC and HP Upgrades'!T169/'CAC and HP Upgrades'!$K169</f>
        <v>0</v>
      </c>
      <c r="T32" s="84">
        <f>'CAC and HP Upgrades'!U169/'CAC and HP Upgrades'!$K169</f>
        <v>0.08357564531827344</v>
      </c>
      <c r="U32" s="84">
        <f>'CAC and HP Upgrades'!V169/'CAC and HP Upgrades'!$K169</f>
        <v>0.7664886650046224</v>
      </c>
      <c r="V32" s="84">
        <f t="shared" si="4"/>
        <v>-0.22753979619603448</v>
      </c>
      <c r="W32" s="85">
        <f t="shared" si="5"/>
        <v>0.771093278434708</v>
      </c>
      <c r="X32" s="85">
        <f>'CAC and HP Upgrades'!Y169/'CAC and HP Upgrades'!D169</f>
        <v>0.17231138344252778</v>
      </c>
      <c r="Y32" s="90">
        <f>'CAC and HP Upgrades'!M169</f>
        <v>0.4363939166069031</v>
      </c>
      <c r="Z32" s="85">
        <f>'CAC and HP Upgrades'!Y169/'CAC and HP Upgrades'!K169</f>
        <v>0.16010349216495032</v>
      </c>
      <c r="AA32" s="84" t="s">
        <v>158</v>
      </c>
      <c r="AB32" s="91" t="s">
        <v>159</v>
      </c>
      <c r="AC32" s="84">
        <f>'CAC and HP Upgrades'!Z169/'CAC and HP Upgrades'!$K169</f>
        <v>0</v>
      </c>
      <c r="AD32" s="84">
        <f>'CAC and HP Upgrades'!AA169/'CAC and HP Upgrades'!$K169</f>
        <v>0</v>
      </c>
      <c r="AE32" s="84">
        <f>'CAC and HP Upgrades'!AC169/'CAC and HP Upgrades'!$K169</f>
        <v>1.0009380507509473</v>
      </c>
      <c r="AF32" s="84">
        <f>'CAC and HP Upgrades'!AB169/'CAC and HP Upgrades'!$K169</f>
        <v>0.9265921748964429</v>
      </c>
      <c r="AG32" s="84">
        <f t="shared" si="6"/>
        <v>-0.07434587585450447</v>
      </c>
      <c r="AH32" s="85">
        <f t="shared" si="7"/>
        <v>0.9257237989916289</v>
      </c>
      <c r="AI32" s="96" t="s">
        <v>160</v>
      </c>
      <c r="AJ32" s="96" t="s">
        <v>161</v>
      </c>
      <c r="AK32" s="451">
        <f>VLOOKUP(A32,'CAC and HP Upgrades'!$B$141:$R$176,17,0)</f>
        <v>83.96211373067736</v>
      </c>
    </row>
    <row r="33" spans="1:37" ht="67.5">
      <c r="A33" s="88" t="str">
        <f>'CAC and HP Upgrades'!B170</f>
        <v>SGC Manufactured Home CAC Upgrade SEER w/PTCS - Cooling Zone 3</v>
      </c>
      <c r="B33" s="81" t="str">
        <f>VLOOKUP($A33,LookupTable!$A$3:$D$38,2,0)</f>
        <v>Central AC must be rated SEER 12 or higher and be installed in substantial compliance with  the applicable specifications for Air Source Heating Pump Installation provided in the RTF's Appendix H - "Air Source Heat Pump Installation Standards." Duct systems and Air Conditioner installaion must be PTCS(tm) or equivalent certified.</v>
      </c>
      <c r="C33" s="81" t="str">
        <f>VLOOKUP($A33,LookupTable!$A$3:$D$38,3,0)</f>
        <v>Super Good Cents Manufactured Home with existing or proposed central air conditioning system</v>
      </c>
      <c r="D33" s="81" t="str">
        <f>VLOOKUP($A33,LookupTable!$A$3:$D$38,4,0)</f>
        <v>Cooling Zone 3</v>
      </c>
      <c r="E33" s="82">
        <f>'CAC and HP Upgrades'!E170</f>
        <v>646</v>
      </c>
      <c r="F33" s="82">
        <f>'CAC and HP Upgrades'!F170</f>
        <v>0.3</v>
      </c>
      <c r="G33" s="82">
        <f>'CAC and HP Upgrades'!G170</f>
        <v>0.9390273094177246</v>
      </c>
      <c r="H33" s="83">
        <f>'CAC and HP Upgrades'!C170</f>
        <v>18</v>
      </c>
      <c r="I33" s="83" t="s">
        <v>157</v>
      </c>
      <c r="J33" s="83">
        <f>'CAC and HP Upgrades'!D170</f>
        <v>457.7625868038931</v>
      </c>
      <c r="K33" s="83">
        <f>'CAC and HP Upgrades'!K170</f>
        <v>492.66698404768994</v>
      </c>
      <c r="L33" s="85">
        <f>'CAC and HP Upgrades'!J170</f>
        <v>0</v>
      </c>
      <c r="M33" s="85">
        <f>'CAC and HP Upgrades'!L170</f>
        <v>0</v>
      </c>
      <c r="N33" s="89">
        <f>'CAC and HP Upgrades'!N170/'CAC and HP Upgrades'!K170</f>
        <v>1.3112245365755053</v>
      </c>
      <c r="O33" s="89">
        <f>('CAC and HP Upgrades'!O170/'CAC and HP Upgrades'!$K170)</f>
        <v>0.007208432688694604</v>
      </c>
      <c r="P33" s="89">
        <f>('CAC and HP Upgrades'!P170/'CAC and HP Upgrades'!$K170)</f>
        <v>0.001906008195846197</v>
      </c>
      <c r="Q33" s="89">
        <f>('CAC and HP Upgrades'!N170/'CAC and HP Upgrades'!$K170)</f>
        <v>1.3112245365755053</v>
      </c>
      <c r="R33" s="84">
        <f>'CAC and HP Upgrades'!S170/'CAC and HP Upgrades'!$K170</f>
        <v>0.6829130196863499</v>
      </c>
      <c r="S33" s="84">
        <f>'CAC and HP Upgrades'!T170/'CAC and HP Upgrades'!$K170</f>
        <v>0</v>
      </c>
      <c r="T33" s="84">
        <f>'CAC and HP Upgrades'!U170/'CAC and HP Upgrades'!$K170</f>
        <v>0.08357564526000828</v>
      </c>
      <c r="U33" s="84">
        <f>'CAC and HP Upgrades'!V170/'CAC and HP Upgrades'!$K170</f>
        <v>0.7664886649463581</v>
      </c>
      <c r="V33" s="84">
        <f t="shared" si="4"/>
        <v>-0.5447358716291472</v>
      </c>
      <c r="W33" s="85">
        <f t="shared" si="5"/>
        <v>0.58455942789797</v>
      </c>
      <c r="X33" s="85">
        <f>'CAC and HP Upgrades'!Y170/'CAC and HP Upgrades'!D170</f>
        <v>0.17231140844248283</v>
      </c>
      <c r="Y33" s="90">
        <f>'CAC and HP Upgrades'!M170</f>
        <v>0.33082661032676697</v>
      </c>
      <c r="Z33" s="85">
        <f>'CAC and HP Upgrades'!Y170/'CAC and HP Upgrades'!K170</f>
        <v>0.1601035153937123</v>
      </c>
      <c r="AA33" s="84" t="s">
        <v>158</v>
      </c>
      <c r="AB33" s="91" t="s">
        <v>159</v>
      </c>
      <c r="AC33" s="84">
        <f>'CAC and HP Upgrades'!Z170/'CAC and HP Upgrades'!$K170</f>
        <v>0</v>
      </c>
      <c r="AD33" s="84">
        <f>'CAC and HP Upgrades'!AA170/'CAC and HP Upgrades'!$K170</f>
        <v>0</v>
      </c>
      <c r="AE33" s="84">
        <f>'CAC and HP Upgrades'!AC170/'CAC and HP Upgrades'!$K170</f>
        <v>1.320338987227213</v>
      </c>
      <c r="AF33" s="84">
        <f>'CAC and HP Upgrades'!AB170/'CAC and HP Upgrades'!$K170</f>
        <v>0.9265921770126705</v>
      </c>
      <c r="AG33" s="84">
        <f t="shared" si="6"/>
        <v>-0.3937468102145426</v>
      </c>
      <c r="AH33" s="85">
        <f t="shared" si="7"/>
        <v>0.7017835464804131</v>
      </c>
      <c r="AI33" s="96" t="s">
        <v>160</v>
      </c>
      <c r="AJ33" s="96" t="s">
        <v>161</v>
      </c>
      <c r="AK33" s="451">
        <f>VLOOKUP(A33,'CAC and HP Upgrades'!$B$141:$R$176,17,0)</f>
        <v>110.75455881155463</v>
      </c>
    </row>
    <row r="34" spans="1:37" ht="67.5">
      <c r="A34" s="88" t="str">
        <f>'CAC and HP Upgrades'!B171</f>
        <v>Pre94 Manufactured Home CAC Upgrade SEER w/PTCS - Cooling Zone 2</v>
      </c>
      <c r="B34" s="81" t="str">
        <f>VLOOKUP($A34,LookupTable!$A$3:$D$38,2,0)</f>
        <v>Central AC must be rated SEER 12 or higher and be installed in substantial compliance with  the applicable specifications for Air Source Heating Pump Installation provided in the RTF's Appendix H - "Air Source Heat Pump Installation Standards." Duct systems and Air Conditioner installaion must be PTCS(tm) or equivalent certified.</v>
      </c>
      <c r="C34" s="81" t="str">
        <f>VLOOKUP($A34,LookupTable!$A$3:$D$38,3,0)</f>
        <v>Manufactured Home with existing central air conditioning system built prior to 1994</v>
      </c>
      <c r="D34" s="81" t="str">
        <f>VLOOKUP($A34,LookupTable!$A$3:$D$38,4,0)</f>
        <v>Cooling Zone 2</v>
      </c>
      <c r="E34" s="82">
        <f>'CAC and HP Upgrades'!E171</f>
        <v>646</v>
      </c>
      <c r="F34" s="82">
        <f>'CAC and HP Upgrades'!F171</f>
        <v>0.3</v>
      </c>
      <c r="G34" s="82">
        <f>'CAC and HP Upgrades'!G171</f>
        <v>0.9390273094177246</v>
      </c>
      <c r="H34" s="83">
        <f>'CAC and HP Upgrades'!C171</f>
        <v>18</v>
      </c>
      <c r="I34" s="83" t="s">
        <v>157</v>
      </c>
      <c r="J34" s="83">
        <f>'CAC and HP Upgrades'!D171</f>
        <v>377.13610312754486</v>
      </c>
      <c r="K34" s="83">
        <f>'CAC and HP Upgrades'!K171</f>
        <v>405.89273099102013</v>
      </c>
      <c r="L34" s="85">
        <f>'CAC and HP Upgrades'!J171</f>
        <v>0</v>
      </c>
      <c r="M34" s="85">
        <f>'CAC and HP Upgrades'!L171</f>
        <v>0</v>
      </c>
      <c r="N34" s="89">
        <f>'CAC and HP Upgrades'!N171/'CAC and HP Upgrades'!K171</f>
        <v>1.591546210415569</v>
      </c>
      <c r="O34" s="89">
        <f>('CAC and HP Upgrades'!O171/'CAC and HP Upgrades'!$K171)</f>
        <v>0.008749495916763586</v>
      </c>
      <c r="P34" s="89">
        <f>('CAC and HP Upgrades'!P171/'CAC and HP Upgrades'!$K171)</f>
        <v>0.00231348639115811</v>
      </c>
      <c r="Q34" s="89">
        <f>('CAC and HP Upgrades'!N171/'CAC and HP Upgrades'!$K171)</f>
        <v>1.591546210415569</v>
      </c>
      <c r="R34" s="84">
        <f>'CAC and HP Upgrades'!S171/'CAC and HP Upgrades'!$K171</f>
        <v>0.606874079623537</v>
      </c>
      <c r="S34" s="84">
        <f>'CAC and HP Upgrades'!T171/'CAC and HP Upgrades'!$K171</f>
        <v>0</v>
      </c>
      <c r="T34" s="84">
        <f>'CAC and HP Upgrades'!U171/'CAC and HP Upgrades'!$K171</f>
        <v>0.07597175203641097</v>
      </c>
      <c r="U34" s="84">
        <f>'CAC and HP Upgrades'!V171/'CAC and HP Upgrades'!$K171</f>
        <v>0.682845831659948</v>
      </c>
      <c r="V34" s="84">
        <f t="shared" si="4"/>
        <v>-0.908700378755621</v>
      </c>
      <c r="W34" s="85">
        <f t="shared" si="5"/>
        <v>0.42904555782998594</v>
      </c>
      <c r="X34" s="85">
        <f>'CAC and HP Upgrades'!Y171/'CAC and HP Upgrades'!D171</f>
        <v>0.17231139496735878</v>
      </c>
      <c r="Y34" s="90">
        <f>'CAC and HP Upgrades'!M171</f>
        <v>0.2725575566291809</v>
      </c>
      <c r="Z34" s="85">
        <f>'CAC and HP Upgrades'!Y171/'CAC and HP Upgrades'!K171</f>
        <v>0.16010350287327182</v>
      </c>
      <c r="AA34" s="84" t="s">
        <v>158</v>
      </c>
      <c r="AB34" s="91" t="s">
        <v>159</v>
      </c>
      <c r="AC34" s="84">
        <f>'CAC and HP Upgrades'!Z171/'CAC and HP Upgrades'!$K171</f>
        <v>0</v>
      </c>
      <c r="AD34" s="84">
        <f>'CAC and HP Upgrades'!AA171/'CAC and HP Upgrades'!$K171</f>
        <v>0</v>
      </c>
      <c r="AE34" s="84">
        <f>'CAC and HP Upgrades'!AC171/'CAC and HP Upgrades'!$K171</f>
        <v>1.602609204578743</v>
      </c>
      <c r="AF34" s="84">
        <f>'CAC and HP Upgrades'!AB171/'CAC and HP Upgrades'!$K171</f>
        <v>0.8429493239222303</v>
      </c>
      <c r="AG34" s="84">
        <f t="shared" si="6"/>
        <v>-0.7596598806565127</v>
      </c>
      <c r="AH34" s="85">
        <f t="shared" si="7"/>
        <v>0.5259855749697915</v>
      </c>
      <c r="AI34" s="96" t="s">
        <v>160</v>
      </c>
      <c r="AJ34" s="96" t="s">
        <v>161</v>
      </c>
      <c r="AK34" s="451">
        <f>VLOOKUP(A34,'CAC and HP Upgrades'!$B$141:$R$176,17,0)</f>
        <v>134.43235193198942</v>
      </c>
    </row>
    <row r="35" spans="1:37" ht="67.5">
      <c r="A35" s="88" t="str">
        <f>'CAC and HP Upgrades'!B172</f>
        <v>Post93 Manufactured Home NonSGC CAC Upgrade SEER w/PTCS - Cooling Zone 2</v>
      </c>
      <c r="B35" s="81" t="str">
        <f>VLOOKUP($A35,LookupTable!$A$3:$D$38,2,0)</f>
        <v>Central AC must be rated SEER 12 or higher and be installed in substantial compliance with  the applicable specifications for Air Source Heating Pump Installation provided in the RTF's Appendix H - "Air Source Heat Pump Installation Standards." Duct systems and Air Conditioner installaion must be PTCS(tm) or equivalent certified.</v>
      </c>
      <c r="C35" s="81" t="str">
        <f>VLOOKUP($A35,LookupTable!$A$3:$D$38,3,0)</f>
        <v>Non-Super Good Cents Manufactured Home with existing or proposed central air conditioning system built after 1993</v>
      </c>
      <c r="D35" s="81" t="str">
        <f>VLOOKUP($A35,LookupTable!$A$3:$D$38,4,0)</f>
        <v>Cooling Zone 2</v>
      </c>
      <c r="E35" s="82">
        <f>'CAC and HP Upgrades'!E172</f>
        <v>646</v>
      </c>
      <c r="F35" s="82">
        <f>'CAC and HP Upgrades'!F172</f>
        <v>0.3</v>
      </c>
      <c r="G35" s="82">
        <f>'CAC and HP Upgrades'!G172</f>
        <v>0.9390273094177246</v>
      </c>
      <c r="H35" s="83">
        <f>'CAC and HP Upgrades'!C172</f>
        <v>18</v>
      </c>
      <c r="I35" s="83" t="s">
        <v>157</v>
      </c>
      <c r="J35" s="83">
        <f>'CAC and HP Upgrades'!D172</f>
        <v>310.50556530046606</v>
      </c>
      <c r="K35" s="83">
        <f>'CAC and HP Upgrades'!K172</f>
        <v>334.18161465462657</v>
      </c>
      <c r="L35" s="85">
        <f>'CAC and HP Upgrades'!J172</f>
        <v>0</v>
      </c>
      <c r="M35" s="85">
        <f>'CAC and HP Upgrades'!L172</f>
        <v>0</v>
      </c>
      <c r="N35" s="89">
        <f>'CAC and HP Upgrades'!N172/'CAC and HP Upgrades'!K172</f>
        <v>1.9330717475634192</v>
      </c>
      <c r="O35" s="89">
        <f>('CAC and HP Upgrades'!O172/'CAC and HP Upgrades'!$K172)</f>
        <v>0.010627026253734047</v>
      </c>
      <c r="P35" s="89">
        <f>('CAC and HP Upgrades'!P172/'CAC and HP Upgrades'!$K172)</f>
        <v>0.00280993109207459</v>
      </c>
      <c r="Q35" s="89">
        <f>('CAC and HP Upgrades'!N172/'CAC and HP Upgrades'!$K172)</f>
        <v>1.9330717475634192</v>
      </c>
      <c r="R35" s="84">
        <f>'CAC and HP Upgrades'!S172/'CAC and HP Upgrades'!$K172</f>
        <v>0.6068740796235371</v>
      </c>
      <c r="S35" s="84">
        <f>'CAC and HP Upgrades'!T172/'CAC and HP Upgrades'!$K172</f>
        <v>0</v>
      </c>
      <c r="T35" s="84">
        <f>'CAC and HP Upgrades'!U172/'CAC and HP Upgrades'!$K172</f>
        <v>0.07597175239804892</v>
      </c>
      <c r="U35" s="84">
        <f>'CAC and HP Upgrades'!V172/'CAC and HP Upgrades'!$K172</f>
        <v>0.682845832021586</v>
      </c>
      <c r="V35" s="84">
        <f t="shared" si="4"/>
        <v>-1.2502259155418332</v>
      </c>
      <c r="W35" s="85">
        <f t="shared" si="5"/>
        <v>0.3532439149670949</v>
      </c>
      <c r="X35" s="85">
        <f>'CAC and HP Upgrades'!Y172/'CAC and HP Upgrades'!D172</f>
        <v>0.1723113941574999</v>
      </c>
      <c r="Y35" s="90">
        <f>'CAC and HP Upgrades'!M172</f>
        <v>0.22440344095230103</v>
      </c>
      <c r="Z35" s="85">
        <f>'CAC and HP Upgrades'!Y172/'CAC and HP Upgrades'!K172</f>
        <v>0.16010350212078972</v>
      </c>
      <c r="AA35" s="84" t="s">
        <v>158</v>
      </c>
      <c r="AB35" s="91" t="s">
        <v>159</v>
      </c>
      <c r="AC35" s="84">
        <f>'CAC and HP Upgrades'!Z172/'CAC and HP Upgrades'!$K172</f>
        <v>0</v>
      </c>
      <c r="AD35" s="84">
        <f>'CAC and HP Upgrades'!AA172/'CAC and HP Upgrades'!$K172</f>
        <v>0</v>
      </c>
      <c r="AE35" s="84">
        <f>'CAC and HP Upgrades'!AC172/'CAC and HP Upgrades'!$K172</f>
        <v>1.946508719308466</v>
      </c>
      <c r="AF35" s="84">
        <f>'CAC and HP Upgrades'!AB172/'CAC and HP Upgrades'!$K172</f>
        <v>0.8429493688438727</v>
      </c>
      <c r="AG35" s="84">
        <f t="shared" si="6"/>
        <v>-1.1035593504645933</v>
      </c>
      <c r="AH35" s="85">
        <f t="shared" si="7"/>
        <v>0.4330570731495857</v>
      </c>
      <c r="AI35" s="96" t="s">
        <v>160</v>
      </c>
      <c r="AJ35" s="96" t="s">
        <v>161</v>
      </c>
      <c r="AK35" s="451">
        <f>VLOOKUP(A35,'CAC and HP Upgrades'!$B$141:$R$176,17,0)</f>
        <v>163.27982170896394</v>
      </c>
    </row>
    <row r="36" spans="1:37" ht="67.5">
      <c r="A36" s="88" t="str">
        <f>'CAC and HP Upgrades'!B173</f>
        <v>SGC Manufactured Home CAC Upgrade SEER w/PTCS - Cooling Zone 2</v>
      </c>
      <c r="B36" s="81" t="str">
        <f>VLOOKUP($A36,LookupTable!$A$3:$D$38,2,0)</f>
        <v>Central AC must be rated SEER 12 or higher and be installed in substantial compliance with  the applicable specifications for Air Source Heating Pump Installation provided in the RTF's Appendix H - "Air Source Heat Pump Installation Standards." Duct systems and Air Conditioner installaion must be PTCS(tm) or equivalent certified.</v>
      </c>
      <c r="C36" s="81" t="str">
        <f>VLOOKUP($A36,LookupTable!$A$3:$D$38,3,0)</f>
        <v>Super Good Cents Manufactured Home with existing or proposed central air conditioning system</v>
      </c>
      <c r="D36" s="81" t="str">
        <f>VLOOKUP($A36,LookupTable!$A$3:$D$38,4,0)</f>
        <v>Cooling Zone 2</v>
      </c>
      <c r="E36" s="82">
        <f>'CAC and HP Upgrades'!E173</f>
        <v>646</v>
      </c>
      <c r="F36" s="82">
        <f>'CAC and HP Upgrades'!F173</f>
        <v>0.3</v>
      </c>
      <c r="G36" s="82">
        <f>'CAC and HP Upgrades'!G173</f>
        <v>0.9390273094177246</v>
      </c>
      <c r="H36" s="83">
        <f>'CAC and HP Upgrades'!C173</f>
        <v>18</v>
      </c>
      <c r="I36" s="83" t="s">
        <v>157</v>
      </c>
      <c r="J36" s="83">
        <f>'CAC and HP Upgrades'!D173</f>
        <v>214.66952066058445</v>
      </c>
      <c r="K36" s="83">
        <f>'CAC and HP Upgrades'!K173</f>
        <v>231.038071610954</v>
      </c>
      <c r="L36" s="85">
        <f>'CAC and HP Upgrades'!J173</f>
        <v>0</v>
      </c>
      <c r="M36" s="85">
        <f>'CAC and HP Upgrades'!L173</f>
        <v>0</v>
      </c>
      <c r="N36" s="89">
        <f>'CAC and HP Upgrades'!N173/'CAC and HP Upgrades'!K173</f>
        <v>2.7960631481195066</v>
      </c>
      <c r="O36" s="89">
        <f>('CAC and HP Upgrades'!O173/'CAC and HP Upgrades'!$K173)</f>
        <v>0.01537130555015234</v>
      </c>
      <c r="P36" s="89">
        <f>('CAC and HP Upgrades'!P173/'CAC and HP Upgrades'!$K173)</f>
        <v>0.00406438342767575</v>
      </c>
      <c r="Q36" s="89">
        <f>('CAC and HP Upgrades'!N173/'CAC and HP Upgrades'!$K173)</f>
        <v>2.7960631481195066</v>
      </c>
      <c r="R36" s="84">
        <f>'CAC and HP Upgrades'!S173/'CAC and HP Upgrades'!$K173</f>
        <v>0.6068740796235365</v>
      </c>
      <c r="S36" s="84">
        <f>'CAC and HP Upgrades'!T173/'CAC and HP Upgrades'!$K173</f>
        <v>0</v>
      </c>
      <c r="T36" s="84">
        <f>'CAC and HP Upgrades'!U173/'CAC and HP Upgrades'!$K173</f>
        <v>0.07597174844096852</v>
      </c>
      <c r="U36" s="84">
        <f>'CAC and HP Upgrades'!V173/'CAC and HP Upgrades'!$K173</f>
        <v>0.682845828064505</v>
      </c>
      <c r="V36" s="84">
        <f t="shared" si="4"/>
        <v>-2.1132173200550017</v>
      </c>
      <c r="W36" s="85">
        <f t="shared" si="5"/>
        <v>0.24421688348625217</v>
      </c>
      <c r="X36" s="85">
        <f>'CAC and HP Upgrades'!Y173/'CAC and HP Upgrades'!D173</f>
        <v>0.17231138153493136</v>
      </c>
      <c r="Y36" s="90">
        <f>'CAC and HP Upgrades'!M173</f>
        <v>0.1551424115896225</v>
      </c>
      <c r="Z36" s="85">
        <f>'CAC and HP Upgrades'!Y173/'CAC and HP Upgrades'!K173</f>
        <v>0.16010349039250302</v>
      </c>
      <c r="AA36" s="84" t="s">
        <v>158</v>
      </c>
      <c r="AB36" s="91" t="s">
        <v>159</v>
      </c>
      <c r="AC36" s="84">
        <f>'CAC and HP Upgrades'!Z173/'CAC and HP Upgrades'!$K173</f>
        <v>0</v>
      </c>
      <c r="AD36" s="84">
        <f>'CAC and HP Upgrades'!AA173/'CAC and HP Upgrades'!$K173</f>
        <v>0</v>
      </c>
      <c r="AE36" s="84">
        <f>'CAC and HP Upgrades'!AC173/'CAC and HP Upgrades'!$K173</f>
        <v>2.815498857924901</v>
      </c>
      <c r="AF36" s="84">
        <f>'CAC and HP Upgrades'!AB173/'CAC and HP Upgrades'!$K173</f>
        <v>0.8429493290574115</v>
      </c>
      <c r="AG36" s="84">
        <f t="shared" si="6"/>
        <v>-1.9725495288674897</v>
      </c>
      <c r="AH36" s="85">
        <f t="shared" si="7"/>
        <v>0.29939608275269836</v>
      </c>
      <c r="AI36" s="96" t="s">
        <v>160</v>
      </c>
      <c r="AJ36" s="96" t="s">
        <v>161</v>
      </c>
      <c r="AK36" s="451">
        <f>VLOOKUP(A36,'CAC and HP Upgrades'!$B$141:$R$176,17,0)</f>
        <v>236.1736924081653</v>
      </c>
    </row>
    <row r="37" spans="1:37" ht="67.5">
      <c r="A37" s="88" t="str">
        <f>'CAC and HP Upgrades'!B174</f>
        <v>Pre94 Manufactured Home CAC Upgrade SEER w/PTCS - Cooling Zone 1</v>
      </c>
      <c r="B37" s="81" t="str">
        <f>VLOOKUP($A37,LookupTable!$A$3:$D$38,2,0)</f>
        <v>Central AC must be rated SEER 12 or higher and be installed in substantial compliance with  the applicable specifications for Air Source Heating Pump Installation provided in the RTF's Appendix H - "Air Source Heat Pump Installation Standards." Duct systems and Air Conditioner installaion must be PTCS(tm) or equivalent certified.</v>
      </c>
      <c r="C37" s="81" t="str">
        <f>VLOOKUP($A37,LookupTable!$A$3:$D$38,3,0)</f>
        <v>Manufactured Home with existing central air conditioning system built prior to 1994</v>
      </c>
      <c r="D37" s="81" t="str">
        <f>VLOOKUP($A37,LookupTable!$A$3:$D$38,4,0)</f>
        <v>Cooling Zone 1</v>
      </c>
      <c r="E37" s="82">
        <f>'CAC and HP Upgrades'!E174</f>
        <v>646</v>
      </c>
      <c r="F37" s="82">
        <f>'CAC and HP Upgrades'!F174</f>
        <v>0.3</v>
      </c>
      <c r="G37" s="82">
        <f>'CAC and HP Upgrades'!G174</f>
        <v>0.9390273094177246</v>
      </c>
      <c r="H37" s="83">
        <f>'CAC and HP Upgrades'!C174</f>
        <v>18</v>
      </c>
      <c r="I37" s="83" t="s">
        <v>157</v>
      </c>
      <c r="J37" s="83">
        <f>'CAC and HP Upgrades'!D174</f>
        <v>207.56678710600988</v>
      </c>
      <c r="K37" s="83">
        <f>'CAC and HP Upgrades'!K174</f>
        <v>223.39375462284315</v>
      </c>
      <c r="L37" s="85">
        <f>'CAC and HP Upgrades'!J174</f>
        <v>0</v>
      </c>
      <c r="M37" s="85">
        <f>'CAC and HP Upgrades'!L174</f>
        <v>0</v>
      </c>
      <c r="N37" s="89">
        <f>'CAC and HP Upgrades'!N174/'CAC and HP Upgrades'!K174</f>
        <v>2.8917417093178113</v>
      </c>
      <c r="O37" s="89">
        <f>('CAC and HP Upgrades'!O174/'CAC and HP Upgrades'!$K174)</f>
        <v>0.015897296674411178</v>
      </c>
      <c r="P37" s="89">
        <f>('CAC and HP Upgrades'!P174/'CAC and HP Upgrades'!$K174)</f>
        <v>0.004203462675145459</v>
      </c>
      <c r="Q37" s="89">
        <f>('CAC and HP Upgrades'!N174/'CAC and HP Upgrades'!$K174)</f>
        <v>2.8917417093178113</v>
      </c>
      <c r="R37" s="84">
        <f>'CAC and HP Upgrades'!S174/'CAC and HP Upgrades'!$K174</f>
        <v>0.5797739738796867</v>
      </c>
      <c r="S37" s="84">
        <f>'CAC and HP Upgrades'!T174/'CAC and HP Upgrades'!$K174</f>
        <v>0</v>
      </c>
      <c r="T37" s="84">
        <f>'CAC and HP Upgrades'!U174/'CAC and HP Upgrades'!$K174</f>
        <v>0.07326173813510782</v>
      </c>
      <c r="U37" s="84">
        <f>'CAC and HP Upgrades'!V174/'CAC and HP Upgrades'!$K174</f>
        <v>0.6530357120147945</v>
      </c>
      <c r="V37" s="84">
        <f t="shared" si="4"/>
        <v>-2.2387059973030166</v>
      </c>
      <c r="W37" s="85">
        <f t="shared" si="5"/>
        <v>0.22582781508824717</v>
      </c>
      <c r="X37" s="85">
        <f>'CAC and HP Upgrades'!Y174/'CAC and HP Upgrades'!D174</f>
        <v>0.17231138665926268</v>
      </c>
      <c r="Y37" s="90">
        <f>'CAC and HP Upgrades'!M174</f>
        <v>0.15000922977924347</v>
      </c>
      <c r="Z37" s="85">
        <f>'CAC and HP Upgrades'!Y174/'CAC and HP Upgrades'!K174</f>
        <v>0.16010349515378647</v>
      </c>
      <c r="AA37" s="84" t="s">
        <v>158</v>
      </c>
      <c r="AB37" s="91" t="s">
        <v>159</v>
      </c>
      <c r="AC37" s="84">
        <f>'CAC and HP Upgrades'!Z174/'CAC and HP Upgrades'!$K174</f>
        <v>0</v>
      </c>
      <c r="AD37" s="84">
        <f>'CAC and HP Upgrades'!AA174/'CAC and HP Upgrades'!$K174</f>
        <v>0</v>
      </c>
      <c r="AE37" s="84">
        <f>'CAC and HP Upgrades'!AC174/'CAC and HP Upgrades'!$K174</f>
        <v>2.9118424902076327</v>
      </c>
      <c r="AF37" s="84">
        <f>'CAC and HP Upgrades'!AB174/'CAC and HP Upgrades'!$K174</f>
        <v>0.8131392172757977</v>
      </c>
      <c r="AG37" s="84">
        <f t="shared" si="6"/>
        <v>-2.098703272931835</v>
      </c>
      <c r="AH37" s="85">
        <f t="shared" si="7"/>
        <v>0.2792524733086836</v>
      </c>
      <c r="AI37" s="96" t="s">
        <v>160</v>
      </c>
      <c r="AJ37" s="96" t="s">
        <v>161</v>
      </c>
      <c r="AK37" s="451">
        <f>VLOOKUP(A37,'CAC and HP Upgrades'!$B$141:$R$176,17,0)</f>
        <v>244.2553264362457</v>
      </c>
    </row>
    <row r="38" spans="1:37" ht="67.5">
      <c r="A38" s="88" t="str">
        <f>'CAC and HP Upgrades'!B175</f>
        <v>Post93 Manufactured Home NonSGC CAC Upgrade SEER w/PTCS - Cooling Zone 1</v>
      </c>
      <c r="B38" s="81" t="str">
        <f>VLOOKUP($A38,LookupTable!$A$3:$D$38,2,0)</f>
        <v>Central AC must be rated SEER 12 or higher and be installed in substantial compliance with  the applicable specifications for Air Source Heating Pump Installation provided in the RTF's Appendix H - "Air Source Heat Pump Installation Standards." Duct systems and Air Conditioner installaion must be PTCS(tm) or equivalent certified.</v>
      </c>
      <c r="C38" s="81" t="str">
        <f>VLOOKUP($A38,LookupTable!$A$3:$D$38,3,0)</f>
        <v>Non-Super Good Cents Manufactured Home with existing or proposed central air conditioning system built after 1993</v>
      </c>
      <c r="D38" s="81" t="str">
        <f>VLOOKUP($A38,LookupTable!$A$3:$D$38,4,0)</f>
        <v>Cooling Zone 1</v>
      </c>
      <c r="E38" s="82">
        <f>'CAC and HP Upgrades'!E175</f>
        <v>646</v>
      </c>
      <c r="F38" s="82">
        <f>'CAC and HP Upgrades'!F175</f>
        <v>0.3</v>
      </c>
      <c r="G38" s="82">
        <f>'CAC and HP Upgrades'!G175</f>
        <v>0.9390273094177246</v>
      </c>
      <c r="H38" s="83">
        <f>'CAC and HP Upgrades'!C175</f>
        <v>18</v>
      </c>
      <c r="I38" s="83" t="s">
        <v>157</v>
      </c>
      <c r="J38" s="83">
        <f>'CAC and HP Upgrades'!D175</f>
        <v>154.88450140152065</v>
      </c>
      <c r="K38" s="83">
        <f>'CAC and HP Upgrades'!K175</f>
        <v>166.69444463338658</v>
      </c>
      <c r="L38" s="85">
        <f>'CAC and HP Upgrades'!J175</f>
        <v>0</v>
      </c>
      <c r="M38" s="85">
        <f>'CAC and HP Upgrades'!L175</f>
        <v>0</v>
      </c>
      <c r="N38" s="89">
        <f>'CAC and HP Upgrades'!N175/'CAC and HP Upgrades'!K175</f>
        <v>3.8753363332817385</v>
      </c>
      <c r="O38" s="89">
        <f>('CAC and HP Upgrades'!O175/'CAC and HP Upgrades'!$K175)</f>
        <v>0.021304589965553438</v>
      </c>
      <c r="P38" s="89">
        <f>('CAC and HP Upgrades'!P175/'CAC and HP Upgrades'!$K175)</f>
        <v>0.005633224979290344</v>
      </c>
      <c r="Q38" s="89">
        <f>('CAC and HP Upgrades'!N175/'CAC and HP Upgrades'!$K175)</f>
        <v>3.8753363332817385</v>
      </c>
      <c r="R38" s="84">
        <f>'CAC and HP Upgrades'!S175/'CAC and HP Upgrades'!$K175</f>
        <v>0.5797739738796853</v>
      </c>
      <c r="S38" s="84">
        <f>'CAC and HP Upgrades'!T175/'CAC and HP Upgrades'!$K175</f>
        <v>0</v>
      </c>
      <c r="T38" s="84">
        <f>'CAC and HP Upgrades'!U175/'CAC and HP Upgrades'!$K175</f>
        <v>0.0732617402036949</v>
      </c>
      <c r="U38" s="84">
        <f>'CAC and HP Upgrades'!V175/'CAC and HP Upgrades'!$K175</f>
        <v>0.6530357140833802</v>
      </c>
      <c r="V38" s="84">
        <f t="shared" si="4"/>
        <v>-3.222300619198358</v>
      </c>
      <c r="W38" s="85">
        <f t="shared" si="5"/>
        <v>0.16851071956646718</v>
      </c>
      <c r="X38" s="85">
        <f>'CAC and HP Upgrades'!Y175/'CAC and HP Upgrades'!D175</f>
        <v>0.17231139195615242</v>
      </c>
      <c r="Y38" s="90">
        <f>'CAC and HP Upgrades'!M175</f>
        <v>0.1119355633854866</v>
      </c>
      <c r="Z38" s="85">
        <f>'CAC and HP Upgrades'!Y175/'CAC and HP Upgrades'!K175</f>
        <v>0.16010350007540297</v>
      </c>
      <c r="AA38" s="84" t="s">
        <v>158</v>
      </c>
      <c r="AB38" s="91" t="s">
        <v>159</v>
      </c>
      <c r="AC38" s="84">
        <f>'CAC and HP Upgrades'!Z175/'CAC and HP Upgrades'!$K175</f>
        <v>0</v>
      </c>
      <c r="AD38" s="84">
        <f>'CAC and HP Upgrades'!AA175/'CAC and HP Upgrades'!$K175</f>
        <v>0</v>
      </c>
      <c r="AE38" s="84">
        <f>'CAC and HP Upgrades'!AC175/'CAC and HP Upgrades'!$K175</f>
        <v>3.902274177093535</v>
      </c>
      <c r="AF38" s="84">
        <f>'CAC and HP Upgrades'!AB175/'CAC and HP Upgrades'!$K175</f>
        <v>0.8131392256297701</v>
      </c>
      <c r="AG38" s="84">
        <f t="shared" si="6"/>
        <v>-3.089134951463765</v>
      </c>
      <c r="AH38" s="85">
        <f t="shared" si="7"/>
        <v>0.20837572880012414</v>
      </c>
      <c r="AI38" s="96" t="s">
        <v>160</v>
      </c>
      <c r="AJ38" s="96" t="s">
        <v>161</v>
      </c>
      <c r="AK38" s="451">
        <f>VLOOKUP(A38,'CAC and HP Upgrades'!$B$141:$R$176,17,0)</f>
        <v>327.3361303625141</v>
      </c>
    </row>
    <row r="39" spans="1:37" ht="67.5">
      <c r="A39" s="88" t="str">
        <f>'CAC and HP Upgrades'!B176</f>
        <v>SGC Manufactured Home CAC Upgrade SEER w/PTCS - Cooling Zone 1</v>
      </c>
      <c r="B39" s="81" t="str">
        <f>VLOOKUP($A39,LookupTable!$A$3:$D$38,2,0)</f>
        <v>Central AC must be rated SEER 12 or higher and be installed in substantial compliance with  the applicable specifications for Air Source Heating Pump Installation provided in the RTF's Appendix H - "Air Source Heat Pump Installation Standards." Duct systems and Air Conditioner installaion must be PTCS(tm) or equivalent certified.</v>
      </c>
      <c r="C39" s="81" t="str">
        <f>VLOOKUP($A39,LookupTable!$A$3:$D$38,3,0)</f>
        <v>Super Good Cents Manufactured Home with existing or proposed central air conditioning system</v>
      </c>
      <c r="D39" s="81" t="str">
        <f>VLOOKUP($A39,LookupTable!$A$3:$D$38,4,0)</f>
        <v>Cooling Zone 1</v>
      </c>
      <c r="E39" s="82">
        <f>'CAC and HP Upgrades'!E176</f>
        <v>646</v>
      </c>
      <c r="F39" s="82">
        <f>'CAC and HP Upgrades'!F176</f>
        <v>0.3</v>
      </c>
      <c r="G39" s="82">
        <f>'CAC and HP Upgrades'!G176</f>
        <v>0.9390273094177246</v>
      </c>
      <c r="H39" s="83">
        <f>'CAC and HP Upgrades'!C176</f>
        <v>18</v>
      </c>
      <c r="I39" s="83" t="s">
        <v>157</v>
      </c>
      <c r="J39" s="83">
        <f>'CAC and HP Upgrades'!D176</f>
        <v>101.08871041512634</v>
      </c>
      <c r="K39" s="83">
        <f>'CAC and HP Upgrades'!K176</f>
        <v>108.79672458427973</v>
      </c>
      <c r="L39" s="85">
        <f>'CAC and HP Upgrades'!J176</f>
        <v>0</v>
      </c>
      <c r="M39" s="85">
        <f>'CAC and HP Upgrades'!L176</f>
        <v>0</v>
      </c>
      <c r="N39" s="89">
        <f>'CAC and HP Upgrades'!N176/'CAC and HP Upgrades'!K176</f>
        <v>5.937651526848683</v>
      </c>
      <c r="O39" s="89">
        <f>('CAC and HP Upgrades'!O176/'CAC and HP Upgrades'!$K176)</f>
        <v>0.03264212967825958</v>
      </c>
      <c r="P39" s="89">
        <f>('CAC and HP Upgrades'!P176/'CAC and HP Upgrades'!$K176)</f>
        <v>0.008631025547927265</v>
      </c>
      <c r="Q39" s="89">
        <f>('CAC and HP Upgrades'!N176/'CAC and HP Upgrades'!$K176)</f>
        <v>5.937651526848683</v>
      </c>
      <c r="R39" s="84">
        <f>'CAC and HP Upgrades'!S176/'CAC and HP Upgrades'!$K176</f>
        <v>0.5797739738796861</v>
      </c>
      <c r="S39" s="84">
        <f>'CAC and HP Upgrades'!T176/'CAC and HP Upgrades'!$K176</f>
        <v>0</v>
      </c>
      <c r="T39" s="84">
        <f>'CAC and HP Upgrades'!U176/'CAC and HP Upgrades'!$K176</f>
        <v>0.07326173974380716</v>
      </c>
      <c r="U39" s="84">
        <f>'CAC and HP Upgrades'!V176/'CAC and HP Upgrades'!$K176</f>
        <v>0.6530357136234933</v>
      </c>
      <c r="V39" s="84">
        <f t="shared" si="4"/>
        <v>-5.284615813225189</v>
      </c>
      <c r="W39" s="85">
        <f t="shared" si="5"/>
        <v>0.1099821555156306</v>
      </c>
      <c r="X39" s="85">
        <f>'CAC and HP Upgrades'!Y176/'CAC and HP Upgrades'!D176</f>
        <v>0.17231138306759872</v>
      </c>
      <c r="Y39" s="90">
        <f>'CAC and HP Upgrades'!M176</f>
        <v>0.073057159781456</v>
      </c>
      <c r="Z39" s="85">
        <f>'CAC and HP Upgrades'!Y176/'CAC and HP Upgrades'!K176</f>
        <v>0.16010349181658418</v>
      </c>
      <c r="AA39" s="84" t="s">
        <v>158</v>
      </c>
      <c r="AB39" s="91" t="s">
        <v>159</v>
      </c>
      <c r="AC39" s="84">
        <f>'CAC and HP Upgrades'!Z176/'CAC and HP Upgrades'!$K176</f>
        <v>0</v>
      </c>
      <c r="AD39" s="84">
        <f>'CAC and HP Upgrades'!AA176/'CAC and HP Upgrades'!$K176</f>
        <v>0</v>
      </c>
      <c r="AE39" s="84">
        <f>'CAC and HP Upgrades'!AC176/'CAC and HP Upgrades'!$K176</f>
        <v>5.978924726303781</v>
      </c>
      <c r="AF39" s="84">
        <f>'CAC and HP Upgrades'!AB176/'CAC and HP Upgrades'!$K176</f>
        <v>0.8131391927135517</v>
      </c>
      <c r="AG39" s="84">
        <f t="shared" si="6"/>
        <v>-5.165785533590229</v>
      </c>
      <c r="AH39" s="85">
        <f t="shared" si="7"/>
        <v>0.13600090817939448</v>
      </c>
      <c r="AI39" s="96" t="s">
        <v>160</v>
      </c>
      <c r="AJ39" s="96" t="s">
        <v>161</v>
      </c>
      <c r="AK39" s="451">
        <f>VLOOKUP(A39,'CAC and HP Upgrades'!$B$141:$R$176,17,0)</f>
        <v>501.53269473615524</v>
      </c>
    </row>
  </sheetData>
  <mergeCells count="4">
    <mergeCell ref="X2:Z2"/>
    <mergeCell ref="AE2:AH2"/>
    <mergeCell ref="AA2:AD2"/>
    <mergeCell ref="A2:W2"/>
  </mergeCells>
  <printOptions/>
  <pageMargins left="0.75" right="0.75" top="1" bottom="1" header="0.5" footer="0.5"/>
  <pageSetup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v>
      </c>
      <c r="B1" s="2"/>
      <c r="C1"/>
      <c r="D1" s="25" t="s">
        <v>2</v>
      </c>
      <c r="E1" s="25"/>
      <c r="F1" s="26"/>
      <c r="G1" s="27"/>
      <c r="H1" s="26"/>
      <c r="I1" s="26"/>
      <c r="J1"/>
      <c r="K1"/>
    </row>
    <row r="2" spans="1:11" ht="15" customHeight="1">
      <c r="A2" s="17" t="s">
        <v>3</v>
      </c>
      <c r="B2" s="18">
        <v>18</v>
      </c>
      <c r="C2" s="4"/>
      <c r="D2" s="17"/>
      <c r="E2" s="17"/>
      <c r="F2" s="28" t="s">
        <v>20</v>
      </c>
      <c r="G2" s="28" t="s">
        <v>21</v>
      </c>
      <c r="H2" s="28" t="s">
        <v>22</v>
      </c>
      <c r="I2" s="28" t="s">
        <v>4</v>
      </c>
      <c r="J2"/>
      <c r="K2"/>
    </row>
    <row r="3" spans="1:11" ht="15" customHeight="1">
      <c r="A3" s="17" t="s">
        <v>5</v>
      </c>
      <c r="B3" s="18">
        <v>2001</v>
      </c>
      <c r="C3" s="4"/>
      <c r="D3" s="17" t="s">
        <v>6</v>
      </c>
      <c r="E3" s="17"/>
      <c r="F3" s="19">
        <v>0.07</v>
      </c>
      <c r="G3" s="19">
        <v>0.05</v>
      </c>
      <c r="H3" s="19">
        <v>0.0475</v>
      </c>
      <c r="I3" s="19">
        <v>0.05</v>
      </c>
      <c r="J3"/>
      <c r="K3"/>
    </row>
    <row r="4" spans="1:11" ht="15" customHeight="1">
      <c r="A4" s="17" t="s">
        <v>7</v>
      </c>
      <c r="B4" s="18">
        <v>2000</v>
      </c>
      <c r="C4" s="4"/>
      <c r="D4" s="17" t="s">
        <v>8</v>
      </c>
      <c r="E4" s="17"/>
      <c r="F4" s="18">
        <v>10</v>
      </c>
      <c r="G4" s="18">
        <v>10</v>
      </c>
      <c r="H4" s="18">
        <v>15</v>
      </c>
      <c r="I4" s="18">
        <v>1</v>
      </c>
      <c r="J4"/>
      <c r="K4"/>
    </row>
    <row r="5" spans="1:11" ht="15" customHeight="1">
      <c r="A5" s="17" t="s">
        <v>9</v>
      </c>
      <c r="B5" s="18">
        <v>2000</v>
      </c>
      <c r="C5" s="4"/>
      <c r="D5" s="17" t="s">
        <v>23</v>
      </c>
      <c r="E5" s="17"/>
      <c r="F5" s="20">
        <v>0</v>
      </c>
      <c r="G5" s="20">
        <v>0</v>
      </c>
      <c r="H5" s="20">
        <v>1</v>
      </c>
      <c r="I5" s="29"/>
      <c r="J5"/>
      <c r="K5"/>
    </row>
    <row r="6" spans="1:11" ht="15" customHeight="1">
      <c r="A6" s="17" t="s">
        <v>10</v>
      </c>
      <c r="B6" s="19">
        <v>0.0475</v>
      </c>
      <c r="C6" s="4"/>
      <c r="D6" s="5"/>
      <c r="E6" s="5"/>
      <c r="F6" s="5"/>
      <c r="G6" s="5"/>
      <c r="H6" s="5"/>
      <c r="I6" s="5"/>
      <c r="J6"/>
      <c r="K6"/>
    </row>
    <row r="7" spans="1:11" ht="15" customHeight="1">
      <c r="A7" s="17" t="s">
        <v>11</v>
      </c>
      <c r="B7" s="20">
        <v>0</v>
      </c>
      <c r="C7" s="4"/>
      <c r="D7" s="6" t="s">
        <v>12</v>
      </c>
      <c r="E7" s="6"/>
      <c r="F7" s="16" t="b">
        <v>1</v>
      </c>
      <c r="G7" s="5"/>
      <c r="H7" s="5"/>
      <c r="I7"/>
      <c r="K7"/>
    </row>
    <row r="8" spans="1:11" ht="15" customHeight="1">
      <c r="A8" s="17" t="s">
        <v>13</v>
      </c>
      <c r="B8" s="20">
        <v>0</v>
      </c>
      <c r="C8" s="4"/>
      <c r="D8" s="30" t="s">
        <v>154</v>
      </c>
      <c r="E8" s="31" t="b">
        <v>0</v>
      </c>
      <c r="F8" s="16"/>
      <c r="G8" s="5"/>
      <c r="H8" s="5"/>
      <c r="I8"/>
      <c r="J8"/>
      <c r="K8"/>
    </row>
    <row r="9" spans="1:11" ht="15" customHeight="1">
      <c r="A9" s="17" t="s">
        <v>24</v>
      </c>
      <c r="B9" s="21">
        <v>1</v>
      </c>
      <c r="C9" s="4"/>
      <c r="D9" s="92" t="s">
        <v>375</v>
      </c>
      <c r="E9" s="31" t="b">
        <v>1</v>
      </c>
      <c r="F9"/>
      <c r="G9" s="5"/>
      <c r="H9" s="5"/>
      <c r="I9"/>
      <c r="J9"/>
      <c r="K9"/>
    </row>
    <row r="10" spans="1:10" ht="15" customHeight="1">
      <c r="A10" s="17" t="s">
        <v>25</v>
      </c>
      <c r="B10" s="21">
        <v>0</v>
      </c>
      <c r="C10" s="4"/>
      <c r="D10" s="30" t="s">
        <v>376</v>
      </c>
      <c r="E10" s="32" t="b">
        <v>0</v>
      </c>
      <c r="F10" s="8"/>
      <c r="G10" s="9"/>
      <c r="H10" s="5"/>
      <c r="I10"/>
      <c r="J10"/>
    </row>
    <row r="11" spans="1:11" s="10" customFormat="1" ht="15" customHeight="1">
      <c r="A11" s="87" t="s">
        <v>26</v>
      </c>
      <c r="B11" s="21">
        <v>0</v>
      </c>
      <c r="C11" s="4"/>
      <c r="D11" s="30" t="s">
        <v>377</v>
      </c>
      <c r="E11" s="32" t="b">
        <v>0</v>
      </c>
      <c r="F11" s="5"/>
      <c r="G11" s="5"/>
      <c r="H11" s="5"/>
      <c r="I11"/>
      <c r="J11"/>
      <c r="K11" s="3"/>
    </row>
    <row r="12" spans="1:10" ht="15" customHeight="1">
      <c r="A12" s="17" t="s">
        <v>27</v>
      </c>
      <c r="B12" s="18">
        <v>18</v>
      </c>
      <c r="C12" s="4"/>
      <c r="D12" s="30" t="s">
        <v>378</v>
      </c>
      <c r="E12" s="32" t="b">
        <v>0</v>
      </c>
      <c r="F12" s="4"/>
      <c r="G12" s="5"/>
      <c r="H12" s="5"/>
      <c r="I12"/>
      <c r="J12" s="11"/>
    </row>
    <row r="13" spans="1:9" ht="15" customHeight="1">
      <c r="A13" s="34" t="s">
        <v>29</v>
      </c>
      <c r="B13" s="20">
        <v>0.025</v>
      </c>
      <c r="C13" s="4"/>
      <c r="D13" s="17" t="s">
        <v>382</v>
      </c>
      <c r="E13" s="33" t="b">
        <v>0</v>
      </c>
      <c r="F13" s="4"/>
      <c r="G13" s="5"/>
      <c r="H13" s="5"/>
      <c r="I13"/>
    </row>
    <row r="14" spans="1:9" ht="15" customHeight="1">
      <c r="A14" s="34" t="s">
        <v>28</v>
      </c>
      <c r="B14" s="22">
        <v>3</v>
      </c>
      <c r="C14" s="4"/>
      <c r="D14" s="17"/>
      <c r="E14" s="33"/>
      <c r="F14" s="5"/>
      <c r="G14" s="5"/>
      <c r="H14" s="5"/>
      <c r="I14"/>
    </row>
    <row r="15" spans="1:9" ht="14.25">
      <c r="A15" s="34" t="s">
        <v>30</v>
      </c>
      <c r="B15" s="20">
        <v>0.05</v>
      </c>
      <c r="C15" s="4"/>
      <c r="D15" s="17"/>
      <c r="E15" s="33"/>
      <c r="F15" s="5"/>
      <c r="G15" s="13"/>
      <c r="H15" s="5"/>
      <c r="I15"/>
    </row>
    <row r="16" spans="1:9" ht="14.25">
      <c r="A16" s="34" t="s">
        <v>31</v>
      </c>
      <c r="B16" s="22">
        <v>20</v>
      </c>
      <c r="C16" s="4"/>
      <c r="D16" s="17"/>
      <c r="E16" s="33"/>
      <c r="F16" s="4"/>
      <c r="G16" s="5"/>
      <c r="H16" s="5"/>
      <c r="I16" s="5"/>
    </row>
    <row r="17" spans="1:9" ht="14.25">
      <c r="A17" s="17" t="s">
        <v>14</v>
      </c>
      <c r="B17" s="23">
        <v>0</v>
      </c>
      <c r="C17" s="4"/>
      <c r="D17" s="17"/>
      <c r="E17" s="33"/>
      <c r="F17" s="4"/>
      <c r="G17" s="5"/>
      <c r="H17"/>
      <c r="I17" s="5"/>
    </row>
    <row r="18" spans="1:9" ht="14.25">
      <c r="A18" s="17" t="s">
        <v>15</v>
      </c>
      <c r="B18" s="24">
        <v>0.1</v>
      </c>
      <c r="C18" s="4"/>
      <c r="D18" s="5"/>
      <c r="E18" s="5"/>
      <c r="F18" s="4"/>
      <c r="G18" s="5"/>
      <c r="H18" s="5"/>
      <c r="I18" s="5"/>
    </row>
    <row r="19" spans="1:9" ht="15" customHeight="1">
      <c r="A19" s="17" t="s">
        <v>16</v>
      </c>
      <c r="B19" s="24">
        <v>0.2</v>
      </c>
      <c r="C19"/>
      <c r="D19"/>
      <c r="E19"/>
      <c r="F19" s="5"/>
      <c r="G19" s="5"/>
      <c r="H19" s="5"/>
      <c r="I19" s="5"/>
    </row>
    <row r="20" spans="1:9" ht="15" customHeight="1">
      <c r="A20" s="17" t="s">
        <v>17</v>
      </c>
      <c r="B20" s="35">
        <v>0.25</v>
      </c>
      <c r="C20"/>
      <c r="D20"/>
      <c r="E20"/>
      <c r="F20" s="5"/>
      <c r="G20" s="5"/>
      <c r="H20" s="5"/>
      <c r="I20" s="5"/>
    </row>
    <row r="21" spans="1:9" ht="37.5" customHeight="1">
      <c r="A21" s="17" t="s">
        <v>18</v>
      </c>
      <c r="B21" s="457" t="s">
        <v>459</v>
      </c>
      <c r="C21" s="458"/>
      <c r="D21" s="459"/>
      <c r="E21" s="12"/>
      <c r="F21" s="5"/>
      <c r="G21" s="5"/>
      <c r="H21" s="14"/>
      <c r="I21" s="5"/>
    </row>
    <row r="22" spans="1:9" ht="14.25">
      <c r="A22" s="34" t="s">
        <v>0</v>
      </c>
      <c r="B22" s="7" t="s">
        <v>460</v>
      </c>
      <c r="C22" s="4"/>
      <c r="D22" s="4"/>
      <c r="E22" s="4"/>
      <c r="F22" s="5"/>
      <c r="G22" s="5"/>
      <c r="H22" s="5"/>
      <c r="I22" s="5"/>
    </row>
    <row r="23" spans="1:9" ht="14.25">
      <c r="A23" s="17" t="s">
        <v>19</v>
      </c>
      <c r="B23" s="7" t="s">
        <v>155</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3"/>
  <dimension ref="A1:DN626"/>
  <sheetViews>
    <sheetView workbookViewId="0" topLeftCell="E146">
      <selection activeCell="K191" sqref="K191"/>
    </sheetView>
  </sheetViews>
  <sheetFormatPr defaultColWidth="9.140625" defaultRowHeight="12.75"/>
  <cols>
    <col min="1" max="1" width="79.7109375" style="37" customWidth="1"/>
    <col min="2" max="2" width="75.28125" style="37" customWidth="1"/>
    <col min="3" max="3" width="8.8515625" style="37" customWidth="1"/>
    <col min="4" max="4" width="8.57421875" style="37" customWidth="1"/>
    <col min="5" max="5" width="8.421875" style="37" customWidth="1"/>
    <col min="6" max="6" width="9.00390625" style="37" customWidth="1"/>
    <col min="7" max="7" width="12.7109375" style="37" customWidth="1"/>
    <col min="8" max="8" width="16.0039062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7109375" style="37" customWidth="1"/>
  </cols>
  <sheetData>
    <row r="1" ht="14.25">
      <c r="A1" s="36" t="s">
        <v>127</v>
      </c>
    </row>
    <row r="2" ht="12.75">
      <c r="A2" s="37" t="s">
        <v>441</v>
      </c>
    </row>
    <row r="3" ht="12.75"/>
    <row r="4" spans="1:23" ht="12.75">
      <c r="A4" s="40" t="s">
        <v>32</v>
      </c>
      <c r="B4" s="41"/>
      <c r="C4" s="42"/>
      <c r="D4" s="42"/>
      <c r="E4" s="42"/>
      <c r="F4" s="42"/>
      <c r="G4" s="42"/>
      <c r="H4" s="43"/>
      <c r="I4" s="44" t="s">
        <v>33</v>
      </c>
      <c r="J4" s="45"/>
      <c r="K4" s="45"/>
      <c r="L4" s="45"/>
      <c r="M4" s="45"/>
      <c r="N4" s="45"/>
      <c r="O4"/>
      <c r="P4"/>
      <c r="Q4"/>
      <c r="R4"/>
      <c r="S4"/>
      <c r="T4"/>
      <c r="U4"/>
      <c r="V4"/>
      <c r="W4"/>
    </row>
    <row r="5" spans="1:25" s="97" customFormat="1" ht="26.25" customHeight="1">
      <c r="A5" s="46" t="s">
        <v>34</v>
      </c>
      <c r="B5" s="46" t="s">
        <v>35</v>
      </c>
      <c r="C5" s="46" t="s">
        <v>170</v>
      </c>
      <c r="D5" s="46" t="s">
        <v>171</v>
      </c>
      <c r="E5" s="46" t="s">
        <v>36</v>
      </c>
      <c r="F5" s="46" t="s">
        <v>37</v>
      </c>
      <c r="G5" s="47" t="s">
        <v>38</v>
      </c>
      <c r="H5" s="47" t="s">
        <v>172</v>
      </c>
      <c r="I5" s="47" t="s">
        <v>39</v>
      </c>
      <c r="J5" s="47" t="s">
        <v>40</v>
      </c>
      <c r="K5" s="47" t="s">
        <v>41</v>
      </c>
      <c r="L5" s="47" t="s">
        <v>42</v>
      </c>
      <c r="M5" s="47" t="s">
        <v>43</v>
      </c>
      <c r="N5" s="47" t="s">
        <v>44</v>
      </c>
      <c r="O5"/>
      <c r="P5"/>
      <c r="Q5"/>
      <c r="R5"/>
      <c r="S5"/>
      <c r="T5"/>
      <c r="U5"/>
      <c r="V5"/>
      <c r="W5"/>
      <c r="X5"/>
      <c r="Y5"/>
    </row>
    <row r="6" spans="1:23" ht="12.75">
      <c r="A6" s="98" t="s">
        <v>387</v>
      </c>
      <c r="B6" s="98" t="s">
        <v>387</v>
      </c>
      <c r="C6" s="99">
        <f>'CAC &amp; HP Use &amp; Savings'!H35</f>
        <v>207.56678710600988</v>
      </c>
      <c r="D6" s="100">
        <v>18</v>
      </c>
      <c r="E6" s="101">
        <f>VLOOKUP('CAC &amp; HP Use &amp; Savings'!$B$138,'Central AC and HP Cost vs SEER'!$C$78:$J$84,4,0)+'Central AC and HP Cost vs SEER'!L$51</f>
        <v>645.996902166085</v>
      </c>
      <c r="F6" s="101">
        <f>VLOOKUP('CAC &amp; HP Use &amp; Savings'!$B$138,'Central AC and HP Cost vs SEER'!$C$78:$J$85,8,0)</f>
        <v>0.29785449016117127</v>
      </c>
      <c r="G6" s="98" t="s">
        <v>173</v>
      </c>
      <c r="H6"/>
      <c r="I6" s="94">
        <f>VLOOKUP('CAC &amp; HP Use &amp; Savings'!$B$138,'Central AC and HP Cost vs SEER'!$C$78:$L$84,10,0)</f>
        <v>1.8835640274126604</v>
      </c>
      <c r="J6">
        <v>14</v>
      </c>
      <c r="K6"/>
      <c r="L6"/>
      <c r="M6"/>
      <c r="N6"/>
      <c r="O6"/>
      <c r="P6"/>
      <c r="Q6"/>
      <c r="R6"/>
      <c r="S6"/>
      <c r="T6"/>
      <c r="U6"/>
      <c r="V6"/>
      <c r="W6"/>
    </row>
    <row r="7" spans="1:23" ht="12.75">
      <c r="A7" s="98" t="s">
        <v>388</v>
      </c>
      <c r="B7" s="98" t="s">
        <v>388</v>
      </c>
      <c r="C7" s="99">
        <f>'CAC &amp; HP Use &amp; Savings'!I35</f>
        <v>377.13610312754486</v>
      </c>
      <c r="D7" s="100">
        <v>18</v>
      </c>
      <c r="E7" s="101">
        <f>VLOOKUP('CAC &amp; HP Use &amp; Savings'!$B$138,'Central AC and HP Cost vs SEER'!$C$78:$J$84,4,0)+'Central AC and HP Cost vs SEER'!L$51</f>
        <v>645.996902166085</v>
      </c>
      <c r="F7" s="101">
        <f>VLOOKUP('CAC &amp; HP Use &amp; Savings'!$B$138,'Central AC and HP Cost vs SEER'!$C$78:$J$85,8,0)</f>
        <v>0.29785449016117127</v>
      </c>
      <c r="G7" s="98" t="s">
        <v>174</v>
      </c>
      <c r="H7"/>
      <c r="I7" s="94">
        <f>VLOOKUP('CAC &amp; HP Use &amp; Savings'!$B$138,'Central AC and HP Cost vs SEER'!$C$78:$L$84,10,0)</f>
        <v>1.8835640274126604</v>
      </c>
      <c r="J7">
        <v>14</v>
      </c>
      <c r="K7"/>
      <c r="L7"/>
      <c r="M7"/>
      <c r="N7"/>
      <c r="O7"/>
      <c r="P7"/>
      <c r="Q7"/>
      <c r="R7"/>
      <c r="S7"/>
      <c r="T7"/>
      <c r="U7"/>
      <c r="V7"/>
      <c r="W7"/>
    </row>
    <row r="8" spans="1:23" ht="12.75">
      <c r="A8" s="98" t="s">
        <v>389</v>
      </c>
      <c r="B8" s="98" t="s">
        <v>389</v>
      </c>
      <c r="C8" s="99">
        <f>'CAC &amp; HP Use &amp; Savings'!J35</f>
        <v>603.8353620363548</v>
      </c>
      <c r="D8" s="100">
        <v>18</v>
      </c>
      <c r="E8" s="101">
        <f>VLOOKUP('CAC &amp; HP Use &amp; Savings'!$B$138,'Central AC and HP Cost vs SEER'!$C$78:$J$84,4,0)+'Central AC and HP Cost vs SEER'!L$51</f>
        <v>645.996902166085</v>
      </c>
      <c r="F8" s="101">
        <f>VLOOKUP('CAC &amp; HP Use &amp; Savings'!$B$138,'Central AC and HP Cost vs SEER'!$C$78:$J$85,8,0)</f>
        <v>0.29785449016117127</v>
      </c>
      <c r="G8" s="98" t="s">
        <v>175</v>
      </c>
      <c r="H8"/>
      <c r="I8" s="94">
        <f>VLOOKUP('CAC &amp; HP Use &amp; Savings'!$B$138,'Central AC and HP Cost vs SEER'!$C$78:$L$84,10,0)</f>
        <v>1.8835640274126604</v>
      </c>
      <c r="J8">
        <v>14</v>
      </c>
      <c r="K8"/>
      <c r="L8"/>
      <c r="M8"/>
      <c r="N8"/>
      <c r="O8"/>
      <c r="P8"/>
      <c r="Q8"/>
      <c r="R8"/>
      <c r="S8"/>
      <c r="T8"/>
      <c r="U8"/>
      <c r="V8"/>
      <c r="W8"/>
    </row>
    <row r="9" spans="1:10" ht="12.75" customHeight="1">
      <c r="A9" s="98" t="s">
        <v>390</v>
      </c>
      <c r="B9" s="98" t="s">
        <v>390</v>
      </c>
      <c r="C9" s="99">
        <f>'CAC &amp; HP Use &amp; Savings'!H36</f>
        <v>154.88450140152065</v>
      </c>
      <c r="D9" s="100">
        <v>18</v>
      </c>
      <c r="E9" s="101">
        <f>VLOOKUP('CAC &amp; HP Use &amp; Savings'!$B$138,'Central AC and HP Cost vs SEER'!$C$78:$J$84,4,0)+'Central AC and HP Cost vs SEER'!L$51</f>
        <v>645.996902166085</v>
      </c>
      <c r="F9" s="101">
        <f>VLOOKUP('CAC &amp; HP Use &amp; Savings'!$B$138,'Central AC and HP Cost vs SEER'!$C$78:$J$85,8,0)</f>
        <v>0.29785449016117127</v>
      </c>
      <c r="G9" s="98" t="s">
        <v>173</v>
      </c>
      <c r="I9" s="94">
        <f>VLOOKUP('CAC &amp; HP Use &amp; Savings'!$B$138,'Central AC and HP Cost vs SEER'!$C$78:$L$84,10,0)</f>
        <v>1.8835640274126604</v>
      </c>
      <c r="J9">
        <v>14</v>
      </c>
    </row>
    <row r="10" spans="1:118" ht="12" customHeight="1">
      <c r="A10" s="98" t="s">
        <v>391</v>
      </c>
      <c r="B10" s="98" t="s">
        <v>391</v>
      </c>
      <c r="C10" s="99">
        <f>'CAC &amp; HP Use &amp; Savings'!I36</f>
        <v>310.50556530046606</v>
      </c>
      <c r="D10" s="100">
        <v>18</v>
      </c>
      <c r="E10" s="101">
        <f>VLOOKUP('CAC &amp; HP Use &amp; Savings'!$B$138,'Central AC and HP Cost vs SEER'!$C$78:$J$84,4,0)+'Central AC and HP Cost vs SEER'!L$51</f>
        <v>645.996902166085</v>
      </c>
      <c r="F10" s="101">
        <f>VLOOKUP('CAC &amp; HP Use &amp; Savings'!$B$138,'Central AC and HP Cost vs SEER'!$C$78:$J$85,8,0)</f>
        <v>0.29785449016117127</v>
      </c>
      <c r="G10" s="98" t="s">
        <v>174</v>
      </c>
      <c r="H10"/>
      <c r="I10" s="94">
        <f>VLOOKUP('CAC &amp; HP Use &amp; Savings'!$B$138,'Central AC and HP Cost vs SEER'!$C$78:$L$84,10,0)</f>
        <v>1.8835640274126604</v>
      </c>
      <c r="J10">
        <v>14</v>
      </c>
      <c r="K10"/>
      <c r="L10"/>
      <c r="M10"/>
      <c r="N10"/>
      <c r="O10"/>
      <c r="P10"/>
      <c r="Q10"/>
      <c r="R10"/>
      <c r="S10"/>
      <c r="T10"/>
      <c r="U10"/>
      <c r="V10"/>
      <c r="W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row>
    <row r="11" spans="1:118" ht="12" customHeight="1">
      <c r="A11" s="98" t="s">
        <v>392</v>
      </c>
      <c r="B11" s="98" t="s">
        <v>392</v>
      </c>
      <c r="C11" s="99">
        <f>'CAC &amp; HP Use &amp; Savings'!J36</f>
        <v>644.8773394162517</v>
      </c>
      <c r="D11" s="100">
        <v>18</v>
      </c>
      <c r="E11" s="101">
        <f>VLOOKUP('CAC &amp; HP Use &amp; Savings'!$B$138,'Central AC and HP Cost vs SEER'!$C$78:$J$84,4,0)+'Central AC and HP Cost vs SEER'!L$51</f>
        <v>645.996902166085</v>
      </c>
      <c r="F11" s="101">
        <f>VLOOKUP('CAC &amp; HP Use &amp; Savings'!$B$138,'Central AC and HP Cost vs SEER'!$C$78:$J$85,8,0)</f>
        <v>0.29785449016117127</v>
      </c>
      <c r="G11" s="98" t="s">
        <v>175</v>
      </c>
      <c r="H11"/>
      <c r="I11" s="94">
        <f>VLOOKUP('CAC &amp; HP Use &amp; Savings'!$B$138,'Central AC and HP Cost vs SEER'!$C$78:$L$84,10,0)</f>
        <v>1.8835640274126604</v>
      </c>
      <c r="J11">
        <v>14</v>
      </c>
      <c r="K11"/>
      <c r="L11"/>
      <c r="M11"/>
      <c r="N11"/>
      <c r="O11"/>
      <c r="P11"/>
      <c r="Q11"/>
      <c r="R11"/>
      <c r="S11"/>
      <c r="T11"/>
      <c r="U11"/>
      <c r="V11"/>
      <c r="W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row>
    <row r="12" spans="1:118" ht="12" customHeight="1">
      <c r="A12" s="98" t="s">
        <v>393</v>
      </c>
      <c r="B12" s="98" t="s">
        <v>393</v>
      </c>
      <c r="C12" s="99">
        <f>'CAC &amp; HP Use &amp; Savings'!H37</f>
        <v>101.08871041512634</v>
      </c>
      <c r="D12" s="100">
        <v>18</v>
      </c>
      <c r="E12" s="101">
        <f>VLOOKUP('CAC &amp; HP Use &amp; Savings'!$B$138,'Central AC and HP Cost vs SEER'!$C$78:$J$84,4,0)+'Central AC and HP Cost vs SEER'!L$51</f>
        <v>645.996902166085</v>
      </c>
      <c r="F12" s="101">
        <f>VLOOKUP('CAC &amp; HP Use &amp; Savings'!$B$138,'Central AC and HP Cost vs SEER'!$C$78:$J$85,8,0)</f>
        <v>0.29785449016117127</v>
      </c>
      <c r="G12" s="98" t="s">
        <v>173</v>
      </c>
      <c r="H12"/>
      <c r="I12" s="94">
        <f>VLOOKUP('CAC &amp; HP Use &amp; Savings'!$B$138,'Central AC and HP Cost vs SEER'!$C$78:$L$84,10,0)</f>
        <v>1.8835640274126604</v>
      </c>
      <c r="J12">
        <v>14</v>
      </c>
      <c r="K12"/>
      <c r="L12"/>
      <c r="M12"/>
      <c r="N12"/>
      <c r="O12"/>
      <c r="P12"/>
      <c r="Q12"/>
      <c r="R12"/>
      <c r="S12"/>
      <c r="T12"/>
      <c r="U12"/>
      <c r="V12"/>
      <c r="W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row>
    <row r="13" spans="1:118" ht="12" customHeight="1">
      <c r="A13" s="98" t="s">
        <v>394</v>
      </c>
      <c r="B13" s="98" t="s">
        <v>394</v>
      </c>
      <c r="C13" s="99">
        <f>'CAC &amp; HP Use &amp; Savings'!I37</f>
        <v>214.66952066058445</v>
      </c>
      <c r="D13" s="100">
        <v>18</v>
      </c>
      <c r="E13" s="101">
        <f>VLOOKUP('CAC &amp; HP Use &amp; Savings'!$B$138,'Central AC and HP Cost vs SEER'!$C$78:$J$84,4,0)+'Central AC and HP Cost vs SEER'!L$51</f>
        <v>645.996902166085</v>
      </c>
      <c r="F13" s="101">
        <f>VLOOKUP('CAC &amp; HP Use &amp; Savings'!$B$138,'Central AC and HP Cost vs SEER'!$C$78:$J$85,8,0)</f>
        <v>0.29785449016117127</v>
      </c>
      <c r="G13" s="98" t="s">
        <v>174</v>
      </c>
      <c r="H13"/>
      <c r="I13" s="94">
        <f>VLOOKUP('CAC &amp; HP Use &amp; Savings'!$B$138,'Central AC and HP Cost vs SEER'!$C$78:$L$84,10,0)</f>
        <v>1.8835640274126604</v>
      </c>
      <c r="J13">
        <v>14</v>
      </c>
      <c r="K13"/>
      <c r="L13"/>
      <c r="M13"/>
      <c r="N13"/>
      <c r="O13"/>
      <c r="P13"/>
      <c r="Q13"/>
      <c r="R13"/>
      <c r="S13"/>
      <c r="T13"/>
      <c r="U13"/>
      <c r="V13"/>
      <c r="W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row>
    <row r="14" spans="1:118" ht="12" customHeight="1">
      <c r="A14" s="98" t="s">
        <v>395</v>
      </c>
      <c r="B14" s="98" t="s">
        <v>395</v>
      </c>
      <c r="C14" s="99">
        <f>'CAC &amp; HP Use &amp; Savings'!J37</f>
        <v>457.7625868038931</v>
      </c>
      <c r="D14" s="100">
        <v>18</v>
      </c>
      <c r="E14" s="101">
        <f>VLOOKUP('CAC &amp; HP Use &amp; Savings'!$B$138,'Central AC and HP Cost vs SEER'!$C$78:$J$84,4,0)+'Central AC and HP Cost vs SEER'!L$51</f>
        <v>645.996902166085</v>
      </c>
      <c r="F14" s="101">
        <f>VLOOKUP('CAC &amp; HP Use &amp; Savings'!$B$138,'Central AC and HP Cost vs SEER'!$C$78:$J$85,8,0)</f>
        <v>0.29785449016117127</v>
      </c>
      <c r="G14" s="98" t="s">
        <v>175</v>
      </c>
      <c r="H14"/>
      <c r="I14" s="94">
        <f>VLOOKUP('CAC &amp; HP Use &amp; Savings'!$B$138,'Central AC and HP Cost vs SEER'!$C$78:$L$84,10,0)</f>
        <v>1.8835640274126604</v>
      </c>
      <c r="J14">
        <v>14</v>
      </c>
      <c r="K14"/>
      <c r="L14"/>
      <c r="M14"/>
      <c r="N14"/>
      <c r="O14"/>
      <c r="P14"/>
      <c r="Q14"/>
      <c r="R14"/>
      <c r="S14"/>
      <c r="T14"/>
      <c r="U14"/>
      <c r="V14"/>
      <c r="W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row>
    <row r="15" spans="1:23" ht="12.75">
      <c r="A15" s="98" t="s">
        <v>414</v>
      </c>
      <c r="B15" s="98" t="s">
        <v>396</v>
      </c>
      <c r="C15" s="99">
        <f>'CAC &amp; HP Use &amp; Savings'!H63</f>
        <v>2157.069304087445</v>
      </c>
      <c r="D15" s="100">
        <v>18</v>
      </c>
      <c r="E15" s="102">
        <f>VLOOKUP('CAC &amp; HP Use &amp; Savings'!B$137,'Central AC and HP Cost vs SEER'!D$58:G$64,4,0)+'Central AC and HP Cost vs SEER'!L$51</f>
        <v>900.1566419228243</v>
      </c>
      <c r="F15" s="99">
        <f>VLOOKUP('CAC &amp; HP Use &amp; Savings'!B$137,'Central AC and HP Cost vs SEER'!D$58:K$64,8)</f>
        <v>0.794533569708932</v>
      </c>
      <c r="G15" s="98" t="s">
        <v>176</v>
      </c>
      <c r="H15"/>
      <c r="I15" s="94">
        <f>VLOOKUP('CAC &amp; HP Use &amp; Savings'!$B$137,'Central AC and HP Cost vs SEER'!$D$57:$M$64,10,0)</f>
        <v>30.13702443860285</v>
      </c>
      <c r="J15">
        <v>14</v>
      </c>
      <c r="K15"/>
      <c r="L15"/>
      <c r="M15"/>
      <c r="N15"/>
      <c r="O15"/>
      <c r="P15"/>
      <c r="Q15"/>
      <c r="R15"/>
      <c r="S15"/>
      <c r="T15"/>
      <c r="U15"/>
      <c r="V15"/>
      <c r="W15"/>
    </row>
    <row r="16" spans="1:23" ht="12.75">
      <c r="A16" s="98" t="s">
        <v>414</v>
      </c>
      <c r="B16" s="98" t="s">
        <v>397</v>
      </c>
      <c r="C16" s="99">
        <f>'CAC &amp; HP Use &amp; Savings'!H35</f>
        <v>207.56678710600988</v>
      </c>
      <c r="D16" s="100">
        <v>18</v>
      </c>
      <c r="E16" s="102"/>
      <c r="F16" s="99">
        <v>0</v>
      </c>
      <c r="G16" s="98" t="s">
        <v>173</v>
      </c>
      <c r="H16"/>
      <c r="I16" s="99">
        <v>0</v>
      </c>
      <c r="J16"/>
      <c r="K16"/>
      <c r="L16"/>
      <c r="M16"/>
      <c r="N16"/>
      <c r="O16"/>
      <c r="P16"/>
      <c r="Q16"/>
      <c r="R16"/>
      <c r="S16"/>
      <c r="T16"/>
      <c r="U16"/>
      <c r="V16"/>
      <c r="W16"/>
    </row>
    <row r="17" spans="1:23" ht="12.75">
      <c r="A17" s="98" t="s">
        <v>415</v>
      </c>
      <c r="B17" s="98" t="s">
        <v>398</v>
      </c>
      <c r="C17" s="99">
        <f>'CAC &amp; HP Use &amp; Savings'!I63</f>
        <v>3338.9497116546027</v>
      </c>
      <c r="D17" s="100">
        <v>18</v>
      </c>
      <c r="E17" s="102">
        <f>VLOOKUP('CAC &amp; HP Use &amp; Savings'!B$137,'Central AC and HP Cost vs SEER'!D$58:G$64,4,0)+'Central AC and HP Cost vs SEER'!L$51</f>
        <v>900.1566419228243</v>
      </c>
      <c r="F17" s="99">
        <f>VLOOKUP('CAC &amp; HP Use &amp; Savings'!B$137,'Central AC and HP Cost vs SEER'!D$58:K$64,8)</f>
        <v>0.794533569708932</v>
      </c>
      <c r="G17" s="98" t="s">
        <v>177</v>
      </c>
      <c r="H17"/>
      <c r="I17" s="94">
        <f>VLOOKUP('CAC &amp; HP Use &amp; Savings'!$B$137,'Central AC and HP Cost vs SEER'!$D$57:$M$64,10,0)</f>
        <v>30.13702443860285</v>
      </c>
      <c r="J17">
        <v>14</v>
      </c>
      <c r="K17"/>
      <c r="L17"/>
      <c r="M17"/>
      <c r="N17"/>
      <c r="O17"/>
      <c r="P17"/>
      <c r="Q17"/>
      <c r="R17"/>
      <c r="S17"/>
      <c r="T17"/>
      <c r="U17"/>
      <c r="V17"/>
      <c r="W17"/>
    </row>
    <row r="18" spans="1:23" ht="12.75">
      <c r="A18" s="98" t="s">
        <v>415</v>
      </c>
      <c r="B18" s="98" t="s">
        <v>399</v>
      </c>
      <c r="C18" s="99">
        <f>'CAC &amp; HP Use &amp; Savings'!I35</f>
        <v>377.13610312754486</v>
      </c>
      <c r="D18" s="100">
        <v>18</v>
      </c>
      <c r="E18" s="102"/>
      <c r="F18" s="99">
        <v>0</v>
      </c>
      <c r="G18" s="98" t="s">
        <v>174</v>
      </c>
      <c r="H18"/>
      <c r="I18" s="94">
        <v>0</v>
      </c>
      <c r="J18"/>
      <c r="K18"/>
      <c r="L18"/>
      <c r="M18"/>
      <c r="N18"/>
      <c r="O18"/>
      <c r="P18"/>
      <c r="Q18"/>
      <c r="R18"/>
      <c r="S18"/>
      <c r="T18"/>
      <c r="U18"/>
      <c r="V18"/>
      <c r="W18"/>
    </row>
    <row r="19" spans="1:23" ht="12.75">
      <c r="A19" s="98" t="s">
        <v>416</v>
      </c>
      <c r="B19" s="98" t="s">
        <v>400</v>
      </c>
      <c r="C19" s="99">
        <f>'CAC &amp; HP Use &amp; Savings'!J63</f>
        <v>4204.458262700341</v>
      </c>
      <c r="D19" s="100">
        <v>18</v>
      </c>
      <c r="E19" s="102">
        <f>VLOOKUP('CAC &amp; HP Use &amp; Savings'!B$137,'Central AC and HP Cost vs SEER'!D$58:G$64,4,0)+'Central AC and HP Cost vs SEER'!L$51</f>
        <v>900.1566419228243</v>
      </c>
      <c r="F19" s="99">
        <f>VLOOKUP('CAC &amp; HP Use &amp; Savings'!B$137,'Central AC and HP Cost vs SEER'!D$58:K$64,8)</f>
        <v>0.794533569708932</v>
      </c>
      <c r="G19" s="98" t="s">
        <v>178</v>
      </c>
      <c r="H19"/>
      <c r="I19" s="94">
        <f>VLOOKUP('CAC &amp; HP Use &amp; Savings'!$B$137,'Central AC and HP Cost vs SEER'!$D$57:$M$64,10,0)</f>
        <v>30.13702443860285</v>
      </c>
      <c r="J19">
        <v>14</v>
      </c>
      <c r="K19"/>
      <c r="L19"/>
      <c r="M19"/>
      <c r="N19"/>
      <c r="O19"/>
      <c r="P19"/>
      <c r="Q19"/>
      <c r="R19"/>
      <c r="S19"/>
      <c r="T19"/>
      <c r="U19"/>
      <c r="V19"/>
      <c r="W19"/>
    </row>
    <row r="20" spans="1:23" ht="12.75">
      <c r="A20" s="98" t="s">
        <v>416</v>
      </c>
      <c r="B20" s="98" t="s">
        <v>401</v>
      </c>
      <c r="C20" s="99">
        <f>'CAC &amp; HP Use &amp; Savings'!J35</f>
        <v>603.8353620363548</v>
      </c>
      <c r="D20" s="100">
        <v>18</v>
      </c>
      <c r="E20" s="102"/>
      <c r="F20" s="99">
        <v>0</v>
      </c>
      <c r="G20" s="98" t="s">
        <v>175</v>
      </c>
      <c r="H20"/>
      <c r="I20" s="99">
        <v>0</v>
      </c>
      <c r="J20"/>
      <c r="K20"/>
      <c r="L20"/>
      <c r="M20"/>
      <c r="N20"/>
      <c r="O20"/>
      <c r="P20"/>
      <c r="Q20"/>
      <c r="R20"/>
      <c r="S20"/>
      <c r="T20"/>
      <c r="U20"/>
      <c r="V20"/>
      <c r="W20"/>
    </row>
    <row r="21" spans="1:23" ht="12.75">
      <c r="A21" s="98" t="s">
        <v>417</v>
      </c>
      <c r="B21" s="98" t="str">
        <f aca="true" t="shared" si="0" ref="B21:G21">B15</f>
        <v>Pre94 Manufactured Home HP Upgrade HSPF 8 w/PTCS - Cooling Zone 1</v>
      </c>
      <c r="C21" s="99">
        <f t="shared" si="0"/>
        <v>2157.069304087445</v>
      </c>
      <c r="D21" s="100">
        <f t="shared" si="0"/>
        <v>18</v>
      </c>
      <c r="E21" s="102">
        <f t="shared" si="0"/>
        <v>900.1566419228243</v>
      </c>
      <c r="F21" s="99">
        <f t="shared" si="0"/>
        <v>0.794533569708932</v>
      </c>
      <c r="G21" s="98" t="str">
        <f t="shared" si="0"/>
        <v>ResSpHtHPZ1</v>
      </c>
      <c r="H21"/>
      <c r="I21" s="94">
        <f>I15</f>
        <v>30.13702443860285</v>
      </c>
      <c r="J21">
        <f>J15</f>
        <v>14</v>
      </c>
      <c r="K21"/>
      <c r="L21"/>
      <c r="M21"/>
      <c r="N21"/>
      <c r="O21"/>
      <c r="P21"/>
      <c r="Q21"/>
      <c r="R21"/>
      <c r="S21"/>
      <c r="T21"/>
      <c r="U21"/>
      <c r="V21"/>
      <c r="W21"/>
    </row>
    <row r="22" spans="1:23" ht="12.75">
      <c r="A22" s="98" t="s">
        <v>417</v>
      </c>
      <c r="B22" s="98" t="str">
        <f aca="true" t="shared" si="1" ref="B22:G22">B18</f>
        <v>Pre94 Manufactured Home CAC Upgrade SEER 12 w/PTCS - Cooling Zone 2</v>
      </c>
      <c r="C22" s="99">
        <f t="shared" si="1"/>
        <v>377.13610312754486</v>
      </c>
      <c r="D22" s="100">
        <f t="shared" si="1"/>
        <v>18</v>
      </c>
      <c r="E22" s="102">
        <f t="shared" si="1"/>
        <v>0</v>
      </c>
      <c r="F22" s="99">
        <f t="shared" si="1"/>
        <v>0</v>
      </c>
      <c r="G22" s="98" t="str">
        <f t="shared" si="1"/>
        <v>ResCACZ2</v>
      </c>
      <c r="H22"/>
      <c r="I22" s="99">
        <f>I18</f>
        <v>0</v>
      </c>
      <c r="J22"/>
      <c r="K22"/>
      <c r="L22"/>
      <c r="M22"/>
      <c r="N22"/>
      <c r="O22"/>
      <c r="P22"/>
      <c r="Q22"/>
      <c r="R22"/>
      <c r="S22"/>
      <c r="T22"/>
      <c r="U22"/>
      <c r="V22"/>
      <c r="W22"/>
    </row>
    <row r="23" spans="1:23" ht="12.75">
      <c r="A23" s="98" t="s">
        <v>418</v>
      </c>
      <c r="B23" s="98" t="str">
        <f aca="true" t="shared" si="2" ref="B23:G23">B15</f>
        <v>Pre94 Manufactured Home HP Upgrade HSPF 8 w/PTCS - Cooling Zone 1</v>
      </c>
      <c r="C23" s="99">
        <f t="shared" si="2"/>
        <v>2157.069304087445</v>
      </c>
      <c r="D23" s="100">
        <f t="shared" si="2"/>
        <v>18</v>
      </c>
      <c r="E23" s="102">
        <f t="shared" si="2"/>
        <v>900.1566419228243</v>
      </c>
      <c r="F23" s="99">
        <f t="shared" si="2"/>
        <v>0.794533569708932</v>
      </c>
      <c r="G23" s="98" t="str">
        <f t="shared" si="2"/>
        <v>ResSpHtHPZ1</v>
      </c>
      <c r="H23"/>
      <c r="I23" s="94">
        <f>I15</f>
        <v>30.13702443860285</v>
      </c>
      <c r="J23">
        <f>J15</f>
        <v>14</v>
      </c>
      <c r="K23"/>
      <c r="L23"/>
      <c r="M23"/>
      <c r="N23"/>
      <c r="O23"/>
      <c r="P23"/>
      <c r="Q23"/>
      <c r="R23"/>
      <c r="S23"/>
      <c r="T23"/>
      <c r="U23"/>
      <c r="V23"/>
      <c r="W23"/>
    </row>
    <row r="24" spans="1:23" ht="12.75">
      <c r="A24" s="98" t="s">
        <v>418</v>
      </c>
      <c r="B24" s="98" t="str">
        <f aca="true" t="shared" si="3" ref="B24:G24">B20</f>
        <v>Pre94 Manufactured Home CAC Upgrade SEER 12 w/PTCS - Cooling Zone 3</v>
      </c>
      <c r="C24" s="99">
        <f t="shared" si="3"/>
        <v>603.8353620363548</v>
      </c>
      <c r="D24" s="100">
        <f t="shared" si="3"/>
        <v>18</v>
      </c>
      <c r="E24" s="102">
        <f t="shared" si="3"/>
        <v>0</v>
      </c>
      <c r="F24" s="99">
        <f t="shared" si="3"/>
        <v>0</v>
      </c>
      <c r="G24" s="98" t="str">
        <f t="shared" si="3"/>
        <v>ResCACZ3</v>
      </c>
      <c r="H24"/>
      <c r="I24" s="94">
        <f>I20</f>
        <v>0</v>
      </c>
      <c r="J24"/>
      <c r="K24"/>
      <c r="L24"/>
      <c r="M24"/>
      <c r="N24"/>
      <c r="O24"/>
      <c r="P24"/>
      <c r="Q24"/>
      <c r="R24"/>
      <c r="S24"/>
      <c r="T24"/>
      <c r="U24"/>
      <c r="V24"/>
      <c r="W24"/>
    </row>
    <row r="25" spans="1:23" ht="12.75">
      <c r="A25" s="98" t="s">
        <v>419</v>
      </c>
      <c r="B25" s="98" t="str">
        <f aca="true" t="shared" si="4" ref="B25:G25">B17</f>
        <v>Pre94 Manufactured Home HP Upgrade HSPF 8 w/PTCS - Cooling Zone 2</v>
      </c>
      <c r="C25" s="99">
        <f t="shared" si="4"/>
        <v>3338.9497116546027</v>
      </c>
      <c r="D25" s="100">
        <f t="shared" si="4"/>
        <v>18</v>
      </c>
      <c r="E25" s="102">
        <f t="shared" si="4"/>
        <v>900.1566419228243</v>
      </c>
      <c r="F25" s="99">
        <f t="shared" si="4"/>
        <v>0.794533569708932</v>
      </c>
      <c r="G25" s="98" t="str">
        <f t="shared" si="4"/>
        <v>ResSpHtHPZ2</v>
      </c>
      <c r="H25"/>
      <c r="I25" s="94">
        <f>I17</f>
        <v>30.13702443860285</v>
      </c>
      <c r="J25">
        <f>J17</f>
        <v>14</v>
      </c>
      <c r="K25"/>
      <c r="L25"/>
      <c r="M25"/>
      <c r="N25"/>
      <c r="O25"/>
      <c r="P25"/>
      <c r="Q25"/>
      <c r="R25"/>
      <c r="S25"/>
      <c r="T25"/>
      <c r="U25"/>
      <c r="V25"/>
      <c r="W25"/>
    </row>
    <row r="26" spans="1:23" ht="12.75">
      <c r="A26" s="98" t="s">
        <v>419</v>
      </c>
      <c r="B26" s="98" t="str">
        <f aca="true" t="shared" si="5" ref="B26:G26">B20</f>
        <v>Pre94 Manufactured Home CAC Upgrade SEER 12 w/PTCS - Cooling Zone 3</v>
      </c>
      <c r="C26" s="99">
        <f t="shared" si="5"/>
        <v>603.8353620363548</v>
      </c>
      <c r="D26" s="100">
        <f t="shared" si="5"/>
        <v>18</v>
      </c>
      <c r="E26" s="102">
        <f t="shared" si="5"/>
        <v>0</v>
      </c>
      <c r="F26" s="99">
        <f t="shared" si="5"/>
        <v>0</v>
      </c>
      <c r="G26" s="98" t="str">
        <f t="shared" si="5"/>
        <v>ResCACZ3</v>
      </c>
      <c r="H26"/>
      <c r="I26" s="99">
        <f>I20</f>
        <v>0</v>
      </c>
      <c r="J26"/>
      <c r="K26"/>
      <c r="L26"/>
      <c r="M26"/>
      <c r="N26"/>
      <c r="O26"/>
      <c r="P26"/>
      <c r="Q26"/>
      <c r="R26"/>
      <c r="S26"/>
      <c r="T26"/>
      <c r="U26"/>
      <c r="V26"/>
      <c r="W26"/>
    </row>
    <row r="27" spans="1:23" ht="12.75">
      <c r="A27" s="98" t="s">
        <v>420</v>
      </c>
      <c r="B27" s="98" t="str">
        <f>B17</f>
        <v>Pre94 Manufactured Home HP Upgrade HSPF 8 w/PTCS - Cooling Zone 2</v>
      </c>
      <c r="C27" s="99">
        <f aca="true" t="shared" si="6" ref="C27:J27">C17</f>
        <v>3338.9497116546027</v>
      </c>
      <c r="D27" s="100">
        <f t="shared" si="6"/>
        <v>18</v>
      </c>
      <c r="E27" s="102">
        <f t="shared" si="6"/>
        <v>900.1566419228243</v>
      </c>
      <c r="F27" s="99">
        <f t="shared" si="6"/>
        <v>0.794533569708932</v>
      </c>
      <c r="G27" s="98" t="str">
        <f t="shared" si="6"/>
        <v>ResSpHtHPZ2</v>
      </c>
      <c r="H27"/>
      <c r="I27" s="94">
        <f t="shared" si="6"/>
        <v>30.13702443860285</v>
      </c>
      <c r="J27">
        <f t="shared" si="6"/>
        <v>14</v>
      </c>
      <c r="K27"/>
      <c r="L27"/>
      <c r="M27"/>
      <c r="N27"/>
      <c r="O27"/>
      <c r="P27"/>
      <c r="Q27"/>
      <c r="R27"/>
      <c r="S27"/>
      <c r="T27"/>
      <c r="U27"/>
      <c r="V27"/>
      <c r="W27"/>
    </row>
    <row r="28" spans="1:23" ht="12.75">
      <c r="A28" s="98" t="s">
        <v>420</v>
      </c>
      <c r="B28" s="98" t="str">
        <f>B16</f>
        <v>Pre94 Manufactured Home CAC Upgrade SEER 12 w/PTCS - Cooling Zone 1</v>
      </c>
      <c r="C28" s="99">
        <f aca="true" t="shared" si="7" ref="C28:I28">C16</f>
        <v>207.56678710600988</v>
      </c>
      <c r="D28" s="100">
        <f t="shared" si="7"/>
        <v>18</v>
      </c>
      <c r="E28" s="102">
        <f t="shared" si="7"/>
        <v>0</v>
      </c>
      <c r="F28" s="99">
        <f t="shared" si="7"/>
        <v>0</v>
      </c>
      <c r="G28" s="98" t="str">
        <f t="shared" si="7"/>
        <v>ResCACZ1</v>
      </c>
      <c r="H28"/>
      <c r="I28" s="99">
        <f t="shared" si="7"/>
        <v>0</v>
      </c>
      <c r="J28"/>
      <c r="K28"/>
      <c r="L28"/>
      <c r="M28"/>
      <c r="N28"/>
      <c r="O28"/>
      <c r="P28"/>
      <c r="Q28"/>
      <c r="R28"/>
      <c r="S28"/>
      <c r="T28"/>
      <c r="U28"/>
      <c r="V28"/>
      <c r="W28"/>
    </row>
    <row r="29" spans="1:23" ht="12.75">
      <c r="A29" s="98" t="s">
        <v>421</v>
      </c>
      <c r="B29" s="98" t="str">
        <f>B19</f>
        <v>Pre94 Manufactured Home HP Upgrade HSPF 8 w/PTCS - Cooling Zone 3</v>
      </c>
      <c r="C29" s="99">
        <f aca="true" t="shared" si="8" ref="C29:J29">C19</f>
        <v>4204.458262700341</v>
      </c>
      <c r="D29" s="100">
        <f t="shared" si="8"/>
        <v>18</v>
      </c>
      <c r="E29" s="102">
        <f t="shared" si="8"/>
        <v>900.1566419228243</v>
      </c>
      <c r="F29" s="99">
        <f t="shared" si="8"/>
        <v>0.794533569708932</v>
      </c>
      <c r="G29" s="98" t="str">
        <f t="shared" si="8"/>
        <v>ResSpHtHPZ3</v>
      </c>
      <c r="H29"/>
      <c r="I29" s="94">
        <f t="shared" si="8"/>
        <v>30.13702443860285</v>
      </c>
      <c r="J29">
        <f t="shared" si="8"/>
        <v>14</v>
      </c>
      <c r="K29"/>
      <c r="L29"/>
      <c r="M29"/>
      <c r="N29"/>
      <c r="O29"/>
      <c r="P29"/>
      <c r="Q29"/>
      <c r="R29"/>
      <c r="S29"/>
      <c r="T29"/>
      <c r="U29"/>
      <c r="V29"/>
      <c r="W29"/>
    </row>
    <row r="30" spans="1:23" ht="12.75">
      <c r="A30" s="98" t="s">
        <v>421</v>
      </c>
      <c r="B30" s="98" t="str">
        <f>B16</f>
        <v>Pre94 Manufactured Home CAC Upgrade SEER 12 w/PTCS - Cooling Zone 1</v>
      </c>
      <c r="C30" s="99">
        <f aca="true" t="shared" si="9" ref="C30:I30">C16</f>
        <v>207.56678710600988</v>
      </c>
      <c r="D30" s="100">
        <f t="shared" si="9"/>
        <v>18</v>
      </c>
      <c r="E30" s="102">
        <f t="shared" si="9"/>
        <v>0</v>
      </c>
      <c r="F30" s="99">
        <f t="shared" si="9"/>
        <v>0</v>
      </c>
      <c r="G30" s="98" t="str">
        <f t="shared" si="9"/>
        <v>ResCACZ1</v>
      </c>
      <c r="H30"/>
      <c r="I30" s="94">
        <f t="shared" si="9"/>
        <v>0</v>
      </c>
      <c r="J30"/>
      <c r="K30"/>
      <c r="L30"/>
      <c r="M30"/>
      <c r="N30"/>
      <c r="O30"/>
      <c r="P30"/>
      <c r="Q30"/>
      <c r="R30"/>
      <c r="S30"/>
      <c r="T30"/>
      <c r="U30"/>
      <c r="V30"/>
      <c r="W30"/>
    </row>
    <row r="31" spans="1:23" ht="12.75">
      <c r="A31" s="98" t="s">
        <v>422</v>
      </c>
      <c r="B31" s="98" t="str">
        <f>B19</f>
        <v>Pre94 Manufactured Home HP Upgrade HSPF 8 w/PTCS - Cooling Zone 3</v>
      </c>
      <c r="C31" s="99">
        <f aca="true" t="shared" si="10" ref="C31:J31">C19</f>
        <v>4204.458262700341</v>
      </c>
      <c r="D31" s="100">
        <f t="shared" si="10"/>
        <v>18</v>
      </c>
      <c r="E31" s="102">
        <f t="shared" si="10"/>
        <v>900.1566419228243</v>
      </c>
      <c r="F31" s="99">
        <f t="shared" si="10"/>
        <v>0.794533569708932</v>
      </c>
      <c r="G31" s="98" t="str">
        <f t="shared" si="10"/>
        <v>ResSpHtHPZ3</v>
      </c>
      <c r="H31"/>
      <c r="I31" s="94">
        <f t="shared" si="10"/>
        <v>30.13702443860285</v>
      </c>
      <c r="J31">
        <f t="shared" si="10"/>
        <v>14</v>
      </c>
      <c r="K31"/>
      <c r="L31"/>
      <c r="M31"/>
      <c r="N31"/>
      <c r="O31"/>
      <c r="P31"/>
      <c r="Q31"/>
      <c r="R31"/>
      <c r="S31"/>
      <c r="T31"/>
      <c r="U31"/>
      <c r="V31"/>
      <c r="W31"/>
    </row>
    <row r="32" spans="1:23" ht="12.75">
      <c r="A32" s="98" t="s">
        <v>422</v>
      </c>
      <c r="B32" s="98" t="str">
        <f>B18</f>
        <v>Pre94 Manufactured Home CAC Upgrade SEER 12 w/PTCS - Cooling Zone 2</v>
      </c>
      <c r="C32" s="99">
        <f aca="true" t="shared" si="11" ref="C32:I32">C18</f>
        <v>377.13610312754486</v>
      </c>
      <c r="D32" s="100">
        <f t="shared" si="11"/>
        <v>18</v>
      </c>
      <c r="E32" s="102">
        <f t="shared" si="11"/>
        <v>0</v>
      </c>
      <c r="F32" s="99">
        <f t="shared" si="11"/>
        <v>0</v>
      </c>
      <c r="G32" s="98" t="str">
        <f t="shared" si="11"/>
        <v>ResCACZ2</v>
      </c>
      <c r="H32"/>
      <c r="I32" s="99">
        <f t="shared" si="11"/>
        <v>0</v>
      </c>
      <c r="J32"/>
      <c r="K32"/>
      <c r="L32"/>
      <c r="M32"/>
      <c r="N32"/>
      <c r="O32"/>
      <c r="P32"/>
      <c r="Q32"/>
      <c r="R32"/>
      <c r="S32"/>
      <c r="T32"/>
      <c r="U32"/>
      <c r="V32"/>
      <c r="W32"/>
    </row>
    <row r="33" spans="1:30" ht="12" customHeight="1">
      <c r="A33" s="98" t="s">
        <v>423</v>
      </c>
      <c r="B33" s="98" t="s">
        <v>402</v>
      </c>
      <c r="C33" s="103">
        <f>'CAC &amp; HP Use &amp; Savings'!H64</f>
        <v>2746.8991899840194</v>
      </c>
      <c r="D33" s="100">
        <v>18</v>
      </c>
      <c r="E33" s="102">
        <f>VLOOKUP('CAC &amp; HP Use &amp; Savings'!B$137,'Central AC and HP Cost vs SEER'!D$58:G$64,4,0)+'Central AC and HP Cost vs SEER'!L$51</f>
        <v>900.1566419228243</v>
      </c>
      <c r="F33" s="99">
        <f>VLOOKUP('CAC &amp; HP Use &amp; Savings'!B$137,'Central AC and HP Cost vs SEER'!D$58:K$64,8)</f>
        <v>0.794533569708932</v>
      </c>
      <c r="G33" s="98" t="s">
        <v>176</v>
      </c>
      <c r="H33"/>
      <c r="I33" s="94">
        <f>VLOOKUP('CAC &amp; HP Use &amp; Savings'!$B$137,'Central AC and HP Cost vs SEER'!$D$57:$M$64,10,0)</f>
        <v>30.13702443860285</v>
      </c>
      <c r="J33">
        <v>14</v>
      </c>
      <c r="K33"/>
      <c r="L33"/>
      <c r="M33"/>
      <c r="N33"/>
      <c r="O33"/>
      <c r="P33"/>
      <c r="Q33"/>
      <c r="R33"/>
      <c r="S33"/>
      <c r="T33"/>
      <c r="U33"/>
      <c r="V33"/>
      <c r="W33"/>
      <c r="Z33"/>
      <c r="AA33"/>
      <c r="AB33"/>
      <c r="AC33"/>
      <c r="AD33"/>
    </row>
    <row r="34" spans="1:30" ht="12" customHeight="1">
      <c r="A34" s="98" t="s">
        <v>423</v>
      </c>
      <c r="B34" s="98" t="s">
        <v>403</v>
      </c>
      <c r="C34" s="103">
        <f>'CAC &amp; HP Use &amp; Savings'!H36</f>
        <v>154.88450140152065</v>
      </c>
      <c r="D34" s="100">
        <v>18</v>
      </c>
      <c r="E34" s="102"/>
      <c r="F34" s="99">
        <v>0</v>
      </c>
      <c r="G34" s="98" t="s">
        <v>173</v>
      </c>
      <c r="H34"/>
      <c r="I34" s="94">
        <v>0</v>
      </c>
      <c r="J34"/>
      <c r="K34"/>
      <c r="L34"/>
      <c r="M34"/>
      <c r="N34"/>
      <c r="O34"/>
      <c r="P34"/>
      <c r="Q34"/>
      <c r="R34"/>
      <c r="S34"/>
      <c r="T34"/>
      <c r="U34"/>
      <c r="V34"/>
      <c r="W34"/>
      <c r="Z34"/>
      <c r="AA34"/>
      <c r="AB34"/>
      <c r="AC34"/>
      <c r="AD34"/>
    </row>
    <row r="35" spans="1:30" ht="12" customHeight="1">
      <c r="A35" s="98" t="s">
        <v>424</v>
      </c>
      <c r="B35" s="98" t="s">
        <v>404</v>
      </c>
      <c r="C35" s="103">
        <f>'CAC &amp; HP Use &amp; Savings'!I64</f>
        <v>4263.489178098839</v>
      </c>
      <c r="D35" s="100">
        <v>18</v>
      </c>
      <c r="E35" s="102">
        <f>VLOOKUP('CAC &amp; HP Use &amp; Savings'!B$137,'Central AC and HP Cost vs SEER'!D$58:G$64,4,0)+'Central AC and HP Cost vs SEER'!L$51</f>
        <v>900.1566419228243</v>
      </c>
      <c r="F35" s="99">
        <f>VLOOKUP('CAC &amp; HP Use &amp; Savings'!B$137,'Central AC and HP Cost vs SEER'!D$58:K$64,8)</f>
        <v>0.794533569708932</v>
      </c>
      <c r="G35" s="98" t="s">
        <v>177</v>
      </c>
      <c r="H35"/>
      <c r="I35" s="94">
        <f>VLOOKUP('CAC &amp; HP Use &amp; Savings'!$B$137,'Central AC and HP Cost vs SEER'!$D$57:$M$64,10,0)</f>
        <v>30.13702443860285</v>
      </c>
      <c r="J35">
        <v>14</v>
      </c>
      <c r="K35"/>
      <c r="L35"/>
      <c r="M35"/>
      <c r="N35"/>
      <c r="O35"/>
      <c r="P35"/>
      <c r="Q35"/>
      <c r="R35"/>
      <c r="S35"/>
      <c r="T35"/>
      <c r="U35"/>
      <c r="V35"/>
      <c r="W35"/>
      <c r="Z35"/>
      <c r="AA35"/>
      <c r="AB35"/>
      <c r="AC35"/>
      <c r="AD35"/>
    </row>
    <row r="36" spans="1:30" ht="12" customHeight="1">
      <c r="A36" s="98" t="s">
        <v>424</v>
      </c>
      <c r="B36" s="98" t="s">
        <v>405</v>
      </c>
      <c r="C36" s="103">
        <f>'CAC &amp; HP Use &amp; Savings'!I36</f>
        <v>310.50556530046606</v>
      </c>
      <c r="D36" s="100">
        <v>18</v>
      </c>
      <c r="E36" s="102"/>
      <c r="F36" s="99">
        <v>0</v>
      </c>
      <c r="G36" s="98" t="s">
        <v>174</v>
      </c>
      <c r="H36"/>
      <c r="I36" s="94">
        <v>0</v>
      </c>
      <c r="J36"/>
      <c r="K36"/>
      <c r="L36"/>
      <c r="M36"/>
      <c r="N36"/>
      <c r="O36"/>
      <c r="P36"/>
      <c r="Q36"/>
      <c r="R36"/>
      <c r="S36"/>
      <c r="T36"/>
      <c r="U36"/>
      <c r="V36"/>
      <c r="W36"/>
      <c r="Z36"/>
      <c r="AA36"/>
      <c r="AB36"/>
      <c r="AC36"/>
      <c r="AD36"/>
    </row>
    <row r="37" spans="1:30" ht="12" customHeight="1">
      <c r="A37" s="98" t="s">
        <v>425</v>
      </c>
      <c r="B37" s="98" t="s">
        <v>406</v>
      </c>
      <c r="C37" s="103">
        <f>'CAC &amp; HP Use &amp; Savings'!J64</f>
        <v>5400.6454493453175</v>
      </c>
      <c r="D37" s="100">
        <v>18</v>
      </c>
      <c r="E37" s="102">
        <f>VLOOKUP('CAC &amp; HP Use &amp; Savings'!B$137,'Central AC and HP Cost vs SEER'!D$58:G$64,4,0)+'Central AC and HP Cost vs SEER'!L$51</f>
        <v>900.1566419228243</v>
      </c>
      <c r="F37" s="99">
        <f>VLOOKUP('CAC &amp; HP Use &amp; Savings'!B$137,'Central AC and HP Cost vs SEER'!D$58:K$64,8)</f>
        <v>0.794533569708932</v>
      </c>
      <c r="G37" s="98" t="s">
        <v>178</v>
      </c>
      <c r="H37"/>
      <c r="I37" s="94">
        <f>VLOOKUP('CAC &amp; HP Use &amp; Savings'!$B$137,'Central AC and HP Cost vs SEER'!$D$57:$M$64,10,0)</f>
        <v>30.13702443860285</v>
      </c>
      <c r="J37">
        <v>14</v>
      </c>
      <c r="K37"/>
      <c r="L37"/>
      <c r="M37"/>
      <c r="N37"/>
      <c r="O37"/>
      <c r="P37"/>
      <c r="Q37"/>
      <c r="R37"/>
      <c r="S37"/>
      <c r="T37"/>
      <c r="U37"/>
      <c r="V37"/>
      <c r="W37"/>
      <c r="Z37"/>
      <c r="AA37"/>
      <c r="AB37"/>
      <c r="AC37"/>
      <c r="AD37"/>
    </row>
    <row r="38" spans="1:30" ht="12" customHeight="1">
      <c r="A38" s="98" t="s">
        <v>425</v>
      </c>
      <c r="B38" s="98" t="s">
        <v>407</v>
      </c>
      <c r="C38" s="103">
        <f>'CAC &amp; HP Use &amp; Savings'!J36</f>
        <v>644.8773394162517</v>
      </c>
      <c r="D38" s="100">
        <v>18</v>
      </c>
      <c r="E38" s="102"/>
      <c r="F38" s="99">
        <v>0</v>
      </c>
      <c r="G38" s="98" t="s">
        <v>175</v>
      </c>
      <c r="H38"/>
      <c r="I38" s="94">
        <v>0</v>
      </c>
      <c r="J38"/>
      <c r="K38"/>
      <c r="L38"/>
      <c r="M38"/>
      <c r="N38"/>
      <c r="O38"/>
      <c r="P38"/>
      <c r="Q38"/>
      <c r="R38"/>
      <c r="S38"/>
      <c r="T38"/>
      <c r="U38"/>
      <c r="V38"/>
      <c r="W38"/>
      <c r="Z38"/>
      <c r="AA38"/>
      <c r="AB38"/>
      <c r="AC38"/>
      <c r="AD38"/>
    </row>
    <row r="39" spans="1:30" ht="12" customHeight="1">
      <c r="A39" s="98" t="s">
        <v>426</v>
      </c>
      <c r="B39" s="98" t="str">
        <f aca="true" t="shared" si="12" ref="B39:G39">B33</f>
        <v>Post93 Manufactured Home NonSGC HP Upgrade HSPF 8 w/PTCS - Cooling Zone 1</v>
      </c>
      <c r="C39" s="99">
        <f t="shared" si="12"/>
        <v>2746.8991899840194</v>
      </c>
      <c r="D39" s="100">
        <f t="shared" si="12"/>
        <v>18</v>
      </c>
      <c r="E39" s="102">
        <f t="shared" si="12"/>
        <v>900.1566419228243</v>
      </c>
      <c r="F39" s="99">
        <f t="shared" si="12"/>
        <v>0.794533569708932</v>
      </c>
      <c r="G39" s="98" t="str">
        <f t="shared" si="12"/>
        <v>ResSpHtHPZ1</v>
      </c>
      <c r="H39"/>
      <c r="I39" s="94">
        <f>I33</f>
        <v>30.13702443860285</v>
      </c>
      <c r="J39">
        <f>J33</f>
        <v>14</v>
      </c>
      <c r="K39"/>
      <c r="L39"/>
      <c r="M39"/>
      <c r="N39"/>
      <c r="O39"/>
      <c r="P39"/>
      <c r="Q39"/>
      <c r="R39"/>
      <c r="S39"/>
      <c r="T39"/>
      <c r="U39"/>
      <c r="V39"/>
      <c r="W39"/>
      <c r="Z39"/>
      <c r="AA39"/>
      <c r="AB39"/>
      <c r="AC39"/>
      <c r="AD39"/>
    </row>
    <row r="40" spans="1:30" ht="12" customHeight="1">
      <c r="A40" s="98" t="s">
        <v>426</v>
      </c>
      <c r="B40" s="98" t="str">
        <f aca="true" t="shared" si="13" ref="B40:G40">B36</f>
        <v>Post93 Manufactured Home NonSGC CAC Upgrade SEER 12 w/PTCS - Cooling Zone 2</v>
      </c>
      <c r="C40" s="99">
        <f t="shared" si="13"/>
        <v>310.50556530046606</v>
      </c>
      <c r="D40" s="100">
        <f t="shared" si="13"/>
        <v>18</v>
      </c>
      <c r="E40" s="102">
        <f t="shared" si="13"/>
        <v>0</v>
      </c>
      <c r="F40" s="99">
        <f t="shared" si="13"/>
        <v>0</v>
      </c>
      <c r="G40" s="98" t="str">
        <f t="shared" si="13"/>
        <v>ResCACZ2</v>
      </c>
      <c r="H40"/>
      <c r="I40" s="99">
        <f>I36</f>
        <v>0</v>
      </c>
      <c r="J40"/>
      <c r="K40"/>
      <c r="L40"/>
      <c r="M40"/>
      <c r="N40"/>
      <c r="O40"/>
      <c r="P40"/>
      <c r="Q40"/>
      <c r="R40"/>
      <c r="S40"/>
      <c r="T40"/>
      <c r="U40"/>
      <c r="V40"/>
      <c r="W40"/>
      <c r="Z40"/>
      <c r="AA40"/>
      <c r="AB40"/>
      <c r="AC40"/>
      <c r="AD40"/>
    </row>
    <row r="41" spans="1:30" ht="12" customHeight="1">
      <c r="A41" s="98" t="s">
        <v>427</v>
      </c>
      <c r="B41" s="98" t="str">
        <f aca="true" t="shared" si="14" ref="B41:G41">B33</f>
        <v>Post93 Manufactured Home NonSGC HP Upgrade HSPF 8 w/PTCS - Cooling Zone 1</v>
      </c>
      <c r="C41" s="99">
        <f t="shared" si="14"/>
        <v>2746.8991899840194</v>
      </c>
      <c r="D41" s="100">
        <f t="shared" si="14"/>
        <v>18</v>
      </c>
      <c r="E41" s="102">
        <f t="shared" si="14"/>
        <v>900.1566419228243</v>
      </c>
      <c r="F41" s="99">
        <f t="shared" si="14"/>
        <v>0.794533569708932</v>
      </c>
      <c r="G41" s="98" t="str">
        <f t="shared" si="14"/>
        <v>ResSpHtHPZ1</v>
      </c>
      <c r="H41"/>
      <c r="I41" s="94">
        <f>I33</f>
        <v>30.13702443860285</v>
      </c>
      <c r="J41">
        <f>J33</f>
        <v>14</v>
      </c>
      <c r="K41"/>
      <c r="L41"/>
      <c r="M41"/>
      <c r="N41"/>
      <c r="O41"/>
      <c r="P41"/>
      <c r="Q41"/>
      <c r="R41"/>
      <c r="S41"/>
      <c r="T41"/>
      <c r="U41"/>
      <c r="V41"/>
      <c r="W41"/>
      <c r="Z41"/>
      <c r="AA41"/>
      <c r="AB41"/>
      <c r="AC41"/>
      <c r="AD41"/>
    </row>
    <row r="42" spans="1:30" ht="12" customHeight="1">
      <c r="A42" s="98" t="s">
        <v>427</v>
      </c>
      <c r="B42" s="98" t="str">
        <f aca="true" t="shared" si="15" ref="B42:G42">B38</f>
        <v>Post93 Manufactured Home NonSGC CAC Upgrade SEER 12 w/PTCS - Cooling Zone 3</v>
      </c>
      <c r="C42" s="99">
        <f t="shared" si="15"/>
        <v>644.8773394162517</v>
      </c>
      <c r="D42" s="100">
        <f t="shared" si="15"/>
        <v>18</v>
      </c>
      <c r="E42" s="102">
        <f t="shared" si="15"/>
        <v>0</v>
      </c>
      <c r="F42" s="99">
        <f t="shared" si="15"/>
        <v>0</v>
      </c>
      <c r="G42" s="98" t="str">
        <f t="shared" si="15"/>
        <v>ResCACZ3</v>
      </c>
      <c r="H42"/>
      <c r="I42" s="94">
        <f>I38</f>
        <v>0</v>
      </c>
      <c r="J42"/>
      <c r="K42"/>
      <c r="L42"/>
      <c r="M42"/>
      <c r="N42"/>
      <c r="O42"/>
      <c r="P42"/>
      <c r="Q42"/>
      <c r="R42"/>
      <c r="S42"/>
      <c r="T42"/>
      <c r="U42"/>
      <c r="V42"/>
      <c r="W42"/>
      <c r="Z42"/>
      <c r="AA42"/>
      <c r="AB42"/>
      <c r="AC42"/>
      <c r="AD42"/>
    </row>
    <row r="43" spans="1:30" ht="12" customHeight="1">
      <c r="A43" s="98" t="s">
        <v>428</v>
      </c>
      <c r="B43" s="98" t="str">
        <f aca="true" t="shared" si="16" ref="B43:G43">B35</f>
        <v>Post93 Manufactured Home NonSGC HP Upgrade HSPF 8 w/PTCS - Cooling Zone 2</v>
      </c>
      <c r="C43" s="99">
        <f t="shared" si="16"/>
        <v>4263.489178098839</v>
      </c>
      <c r="D43" s="100">
        <f t="shared" si="16"/>
        <v>18</v>
      </c>
      <c r="E43" s="102">
        <f t="shared" si="16"/>
        <v>900.1566419228243</v>
      </c>
      <c r="F43" s="99">
        <f t="shared" si="16"/>
        <v>0.794533569708932</v>
      </c>
      <c r="G43" s="98" t="str">
        <f t="shared" si="16"/>
        <v>ResSpHtHPZ2</v>
      </c>
      <c r="H43"/>
      <c r="I43" s="94">
        <f>I35</f>
        <v>30.13702443860285</v>
      </c>
      <c r="J43">
        <f>J35</f>
        <v>14</v>
      </c>
      <c r="K43"/>
      <c r="L43"/>
      <c r="M43"/>
      <c r="N43"/>
      <c r="O43"/>
      <c r="P43"/>
      <c r="Q43"/>
      <c r="R43"/>
      <c r="S43"/>
      <c r="T43"/>
      <c r="U43"/>
      <c r="V43"/>
      <c r="W43"/>
      <c r="Z43"/>
      <c r="AA43"/>
      <c r="AB43"/>
      <c r="AC43"/>
      <c r="AD43"/>
    </row>
    <row r="44" spans="1:30" ht="12" customHeight="1">
      <c r="A44" s="98" t="s">
        <v>428</v>
      </c>
      <c r="B44" s="98" t="str">
        <f aca="true" t="shared" si="17" ref="B44:G44">B38</f>
        <v>Post93 Manufactured Home NonSGC CAC Upgrade SEER 12 w/PTCS - Cooling Zone 3</v>
      </c>
      <c r="C44" s="99">
        <f t="shared" si="17"/>
        <v>644.8773394162517</v>
      </c>
      <c r="D44" s="100">
        <f t="shared" si="17"/>
        <v>18</v>
      </c>
      <c r="E44" s="102">
        <f t="shared" si="17"/>
        <v>0</v>
      </c>
      <c r="F44" s="99">
        <f t="shared" si="17"/>
        <v>0</v>
      </c>
      <c r="G44" s="98" t="str">
        <f t="shared" si="17"/>
        <v>ResCACZ3</v>
      </c>
      <c r="H44"/>
      <c r="I44" s="99">
        <f>I38</f>
        <v>0</v>
      </c>
      <c r="J44"/>
      <c r="K44"/>
      <c r="L44"/>
      <c r="M44"/>
      <c r="N44"/>
      <c r="O44"/>
      <c r="P44"/>
      <c r="Q44"/>
      <c r="R44"/>
      <c r="S44"/>
      <c r="T44"/>
      <c r="U44"/>
      <c r="V44"/>
      <c r="W44"/>
      <c r="Z44"/>
      <c r="AA44"/>
      <c r="AB44"/>
      <c r="AC44"/>
      <c r="AD44"/>
    </row>
    <row r="45" spans="1:30" ht="12" customHeight="1">
      <c r="A45" s="98" t="s">
        <v>429</v>
      </c>
      <c r="B45" s="98" t="str">
        <f aca="true" t="shared" si="18" ref="B45:G45">B35</f>
        <v>Post93 Manufactured Home NonSGC HP Upgrade HSPF 8 w/PTCS - Cooling Zone 2</v>
      </c>
      <c r="C45" s="99">
        <f t="shared" si="18"/>
        <v>4263.489178098839</v>
      </c>
      <c r="D45" s="100">
        <f t="shared" si="18"/>
        <v>18</v>
      </c>
      <c r="E45" s="102">
        <f t="shared" si="18"/>
        <v>900.1566419228243</v>
      </c>
      <c r="F45" s="99">
        <f t="shared" si="18"/>
        <v>0.794533569708932</v>
      </c>
      <c r="G45" s="98" t="str">
        <f t="shared" si="18"/>
        <v>ResSpHtHPZ2</v>
      </c>
      <c r="H45"/>
      <c r="I45" s="94">
        <f>I35</f>
        <v>30.13702443860285</v>
      </c>
      <c r="J45">
        <f>J35</f>
        <v>14</v>
      </c>
      <c r="K45"/>
      <c r="L45"/>
      <c r="M45"/>
      <c r="N45"/>
      <c r="O45"/>
      <c r="P45"/>
      <c r="Q45"/>
      <c r="R45"/>
      <c r="S45"/>
      <c r="T45"/>
      <c r="U45"/>
      <c r="V45"/>
      <c r="W45"/>
      <c r="Z45"/>
      <c r="AA45"/>
      <c r="AB45"/>
      <c r="AC45"/>
      <c r="AD45"/>
    </row>
    <row r="46" spans="1:30" ht="12" customHeight="1">
      <c r="A46" s="98" t="s">
        <v>429</v>
      </c>
      <c r="B46" s="98" t="str">
        <f aca="true" t="shared" si="19" ref="B46:G46">B34</f>
        <v>Post93 Manufactured Home NonSGC CAC Upgrade SEER 12 w/PTCS - Cooling Zone 1</v>
      </c>
      <c r="C46" s="99">
        <f t="shared" si="19"/>
        <v>154.88450140152065</v>
      </c>
      <c r="D46" s="100">
        <f t="shared" si="19"/>
        <v>18</v>
      </c>
      <c r="E46" s="102">
        <f t="shared" si="19"/>
        <v>0</v>
      </c>
      <c r="F46" s="99">
        <f t="shared" si="19"/>
        <v>0</v>
      </c>
      <c r="G46" s="98" t="str">
        <f t="shared" si="19"/>
        <v>ResCACZ1</v>
      </c>
      <c r="H46"/>
      <c r="I46" s="99">
        <f>I34</f>
        <v>0</v>
      </c>
      <c r="J46"/>
      <c r="K46"/>
      <c r="L46"/>
      <c r="M46"/>
      <c r="N46"/>
      <c r="O46"/>
      <c r="P46"/>
      <c r="Q46"/>
      <c r="R46"/>
      <c r="S46"/>
      <c r="T46"/>
      <c r="U46"/>
      <c r="V46"/>
      <c r="W46"/>
      <c r="Z46"/>
      <c r="AA46"/>
      <c r="AB46"/>
      <c r="AC46"/>
      <c r="AD46"/>
    </row>
    <row r="47" spans="1:30" ht="12" customHeight="1">
      <c r="A47" s="98" t="s">
        <v>430</v>
      </c>
      <c r="B47" s="98" t="str">
        <f aca="true" t="shared" si="20" ref="B47:G47">B37</f>
        <v>Post93 Manufactured Home NonSGC HP Upgrade HSPF 8 w/PTCS - Cooling Zone 3</v>
      </c>
      <c r="C47" s="99">
        <f t="shared" si="20"/>
        <v>5400.6454493453175</v>
      </c>
      <c r="D47" s="100">
        <f t="shared" si="20"/>
        <v>18</v>
      </c>
      <c r="E47" s="102">
        <f t="shared" si="20"/>
        <v>900.1566419228243</v>
      </c>
      <c r="F47" s="99">
        <f t="shared" si="20"/>
        <v>0.794533569708932</v>
      </c>
      <c r="G47" s="98" t="str">
        <f t="shared" si="20"/>
        <v>ResSpHtHPZ3</v>
      </c>
      <c r="H47"/>
      <c r="I47" s="94">
        <f>I37</f>
        <v>30.13702443860285</v>
      </c>
      <c r="J47">
        <f>J37</f>
        <v>14</v>
      </c>
      <c r="K47"/>
      <c r="L47"/>
      <c r="M47"/>
      <c r="N47"/>
      <c r="O47"/>
      <c r="P47"/>
      <c r="Q47"/>
      <c r="R47"/>
      <c r="S47"/>
      <c r="T47"/>
      <c r="U47"/>
      <c r="V47"/>
      <c r="W47"/>
      <c r="Z47"/>
      <c r="AA47"/>
      <c r="AB47"/>
      <c r="AC47"/>
      <c r="AD47"/>
    </row>
    <row r="48" spans="1:30" ht="12" customHeight="1">
      <c r="A48" s="98" t="s">
        <v>430</v>
      </c>
      <c r="B48" s="98" t="str">
        <f aca="true" t="shared" si="21" ref="B48:G48">B34</f>
        <v>Post93 Manufactured Home NonSGC CAC Upgrade SEER 12 w/PTCS - Cooling Zone 1</v>
      </c>
      <c r="C48" s="99">
        <f t="shared" si="21"/>
        <v>154.88450140152065</v>
      </c>
      <c r="D48" s="100">
        <f t="shared" si="21"/>
        <v>18</v>
      </c>
      <c r="E48" s="102">
        <f t="shared" si="21"/>
        <v>0</v>
      </c>
      <c r="F48" s="99">
        <f t="shared" si="21"/>
        <v>0</v>
      </c>
      <c r="G48" s="98" t="str">
        <f t="shared" si="21"/>
        <v>ResCACZ1</v>
      </c>
      <c r="H48"/>
      <c r="I48" s="94">
        <f>I34</f>
        <v>0</v>
      </c>
      <c r="J48"/>
      <c r="K48"/>
      <c r="L48"/>
      <c r="M48"/>
      <c r="N48"/>
      <c r="O48"/>
      <c r="P48"/>
      <c r="Q48"/>
      <c r="R48"/>
      <c r="S48"/>
      <c r="T48"/>
      <c r="U48"/>
      <c r="V48"/>
      <c r="W48"/>
      <c r="Z48"/>
      <c r="AA48"/>
      <c r="AB48"/>
      <c r="AC48"/>
      <c r="AD48"/>
    </row>
    <row r="49" spans="1:30" ht="12" customHeight="1">
      <c r="A49" s="98" t="s">
        <v>431</v>
      </c>
      <c r="B49" s="98" t="str">
        <f aca="true" t="shared" si="22" ref="B49:G49">B37</f>
        <v>Post93 Manufactured Home NonSGC HP Upgrade HSPF 8 w/PTCS - Cooling Zone 3</v>
      </c>
      <c r="C49" s="99">
        <f t="shared" si="22"/>
        <v>5400.6454493453175</v>
      </c>
      <c r="D49" s="100">
        <f t="shared" si="22"/>
        <v>18</v>
      </c>
      <c r="E49" s="102">
        <f t="shared" si="22"/>
        <v>900.1566419228243</v>
      </c>
      <c r="F49" s="99">
        <f t="shared" si="22"/>
        <v>0.794533569708932</v>
      </c>
      <c r="G49" s="98" t="str">
        <f t="shared" si="22"/>
        <v>ResSpHtHPZ3</v>
      </c>
      <c r="H49"/>
      <c r="I49" s="94">
        <f>I37</f>
        <v>30.13702443860285</v>
      </c>
      <c r="J49">
        <f>J37</f>
        <v>14</v>
      </c>
      <c r="K49"/>
      <c r="L49"/>
      <c r="M49"/>
      <c r="N49"/>
      <c r="O49"/>
      <c r="P49"/>
      <c r="Q49"/>
      <c r="R49"/>
      <c r="S49"/>
      <c r="T49"/>
      <c r="U49"/>
      <c r="V49"/>
      <c r="W49"/>
      <c r="Z49"/>
      <c r="AA49"/>
      <c r="AB49"/>
      <c r="AC49"/>
      <c r="AD49"/>
    </row>
    <row r="50" spans="1:30" ht="12" customHeight="1">
      <c r="A50" s="98" t="s">
        <v>431</v>
      </c>
      <c r="B50" s="98" t="str">
        <f aca="true" t="shared" si="23" ref="B50:G50">B36</f>
        <v>Post93 Manufactured Home NonSGC CAC Upgrade SEER 12 w/PTCS - Cooling Zone 2</v>
      </c>
      <c r="C50" s="99">
        <f t="shared" si="23"/>
        <v>310.50556530046606</v>
      </c>
      <c r="D50" s="100">
        <f t="shared" si="23"/>
        <v>18</v>
      </c>
      <c r="E50" s="102">
        <f t="shared" si="23"/>
        <v>0</v>
      </c>
      <c r="F50" s="99">
        <f t="shared" si="23"/>
        <v>0</v>
      </c>
      <c r="G50" s="98" t="str">
        <f t="shared" si="23"/>
        <v>ResCACZ2</v>
      </c>
      <c r="H50"/>
      <c r="I50" s="99">
        <f>I36</f>
        <v>0</v>
      </c>
      <c r="J50"/>
      <c r="K50"/>
      <c r="L50"/>
      <c r="M50"/>
      <c r="N50"/>
      <c r="O50"/>
      <c r="P50"/>
      <c r="Q50"/>
      <c r="R50"/>
      <c r="S50"/>
      <c r="T50"/>
      <c r="U50"/>
      <c r="V50"/>
      <c r="W50"/>
      <c r="Z50"/>
      <c r="AA50"/>
      <c r="AB50"/>
      <c r="AC50"/>
      <c r="AD50"/>
    </row>
    <row r="51" spans="1:30" ht="12" customHeight="1">
      <c r="A51" s="98" t="s">
        <v>432</v>
      </c>
      <c r="B51" s="98" t="s">
        <v>408</v>
      </c>
      <c r="C51" s="103">
        <f>'CAC &amp; HP Use &amp; Savings'!H65</f>
        <v>1779.7207198769984</v>
      </c>
      <c r="D51" s="100">
        <v>18</v>
      </c>
      <c r="E51" s="102">
        <f>VLOOKUP('CAC &amp; HP Use &amp; Savings'!B$137,'Central AC and HP Cost vs SEER'!D$58:G$64,4,0)+'Central AC and HP Cost vs SEER'!L$51</f>
        <v>900.1566419228243</v>
      </c>
      <c r="F51" s="99">
        <f>VLOOKUP('CAC &amp; HP Use &amp; Savings'!B$137,'Central AC and HP Cost vs SEER'!D$58:K$64,8)</f>
        <v>0.794533569708932</v>
      </c>
      <c r="G51" s="98" t="s">
        <v>176</v>
      </c>
      <c r="H51"/>
      <c r="I51" s="94">
        <f>VLOOKUP('CAC &amp; HP Use &amp; Savings'!$B$137,'Central AC and HP Cost vs SEER'!$D$57:$M$64,10,0)</f>
        <v>30.13702443860285</v>
      </c>
      <c r="J51">
        <v>14</v>
      </c>
      <c r="K51"/>
      <c r="L51"/>
      <c r="M51"/>
      <c r="N51"/>
      <c r="O51"/>
      <c r="P51"/>
      <c r="Q51"/>
      <c r="R51"/>
      <c r="S51"/>
      <c r="T51"/>
      <c r="U51"/>
      <c r="V51"/>
      <c r="W51"/>
      <c r="Z51"/>
      <c r="AA51"/>
      <c r="AB51"/>
      <c r="AC51"/>
      <c r="AD51"/>
    </row>
    <row r="52" spans="1:30" ht="12" customHeight="1">
      <c r="A52" s="98" t="s">
        <v>432</v>
      </c>
      <c r="B52" s="98" t="s">
        <v>409</v>
      </c>
      <c r="C52" s="103">
        <f>'CAC &amp; HP Use &amp; Savings'!H37</f>
        <v>101.08871041512634</v>
      </c>
      <c r="D52" s="100">
        <v>18</v>
      </c>
      <c r="E52" s="102"/>
      <c r="F52" s="99">
        <v>0</v>
      </c>
      <c r="G52" s="98" t="s">
        <v>173</v>
      </c>
      <c r="H52"/>
      <c r="I52" s="94">
        <v>0</v>
      </c>
      <c r="J52"/>
      <c r="K52"/>
      <c r="L52"/>
      <c r="M52"/>
      <c r="N52"/>
      <c r="O52"/>
      <c r="P52"/>
      <c r="Q52"/>
      <c r="R52"/>
      <c r="S52"/>
      <c r="T52"/>
      <c r="U52"/>
      <c r="V52"/>
      <c r="W52"/>
      <c r="Z52"/>
      <c r="AA52"/>
      <c r="AB52"/>
      <c r="AC52"/>
      <c r="AD52"/>
    </row>
    <row r="53" spans="1:30" ht="12" customHeight="1">
      <c r="A53" s="98" t="s">
        <v>433</v>
      </c>
      <c r="B53" s="98" t="s">
        <v>410</v>
      </c>
      <c r="C53" s="103">
        <f>'CAC &amp; HP Use &amp; Savings'!I65</f>
        <v>2816.7731014733</v>
      </c>
      <c r="D53" s="100">
        <v>18</v>
      </c>
      <c r="E53" s="102">
        <f>VLOOKUP('CAC &amp; HP Use &amp; Savings'!B$137,'Central AC and HP Cost vs SEER'!D$58:G$64,4,0)+'Central AC and HP Cost vs SEER'!L$51</f>
        <v>900.1566419228243</v>
      </c>
      <c r="F53" s="99">
        <f>VLOOKUP('CAC &amp; HP Use &amp; Savings'!B$137,'Central AC and HP Cost vs SEER'!D$58:K$64,8)</f>
        <v>0.794533569708932</v>
      </c>
      <c r="G53" s="98" t="s">
        <v>177</v>
      </c>
      <c r="H53"/>
      <c r="I53" s="94">
        <f>VLOOKUP('CAC &amp; HP Use &amp; Savings'!$B$137,'Central AC and HP Cost vs SEER'!$D$57:$M$64,10,0)</f>
        <v>30.13702443860285</v>
      </c>
      <c r="J53">
        <v>14</v>
      </c>
      <c r="K53"/>
      <c r="L53"/>
      <c r="M53"/>
      <c r="N53"/>
      <c r="O53"/>
      <c r="P53"/>
      <c r="Q53"/>
      <c r="R53"/>
      <c r="S53"/>
      <c r="T53"/>
      <c r="U53"/>
      <c r="V53"/>
      <c r="W53"/>
      <c r="Z53"/>
      <c r="AA53"/>
      <c r="AB53"/>
      <c r="AC53"/>
      <c r="AD53"/>
    </row>
    <row r="54" spans="1:30" ht="12.75" customHeight="1">
      <c r="A54" s="98" t="s">
        <v>433</v>
      </c>
      <c r="B54" s="98" t="s">
        <v>411</v>
      </c>
      <c r="C54" s="103">
        <f>'CAC &amp; HP Use &amp; Savings'!I37</f>
        <v>214.66952066058445</v>
      </c>
      <c r="D54" s="100">
        <v>18</v>
      </c>
      <c r="E54"/>
      <c r="F54" s="99">
        <v>0</v>
      </c>
      <c r="G54" s="98" t="s">
        <v>174</v>
      </c>
      <c r="H54"/>
      <c r="I54" s="94">
        <v>0</v>
      </c>
      <c r="J54"/>
      <c r="K54"/>
      <c r="L54"/>
      <c r="M54"/>
      <c r="N54"/>
      <c r="O54"/>
      <c r="P54"/>
      <c r="Q54"/>
      <c r="R54"/>
      <c r="S54"/>
      <c r="T54"/>
      <c r="U54"/>
      <c r="V54"/>
      <c r="W54"/>
      <c r="Z54"/>
      <c r="AA54"/>
      <c r="AB54"/>
      <c r="AC54"/>
      <c r="AD54"/>
    </row>
    <row r="55" spans="1:30" ht="12" customHeight="1">
      <c r="A55" s="98" t="s">
        <v>434</v>
      </c>
      <c r="B55" s="98" t="s">
        <v>412</v>
      </c>
      <c r="C55" s="103">
        <f>'CAC &amp; HP Use &amp; Savings'!J65</f>
        <v>3582.869701695641</v>
      </c>
      <c r="D55" s="100">
        <v>18</v>
      </c>
      <c r="E55" s="102">
        <f>VLOOKUP('CAC &amp; HP Use &amp; Savings'!B$137,'Central AC and HP Cost vs SEER'!D$58:G$64,4,0)+'Central AC and HP Cost vs SEER'!L$51</f>
        <v>900.1566419228243</v>
      </c>
      <c r="F55" s="99">
        <f>VLOOKUP('CAC &amp; HP Use &amp; Savings'!B$137,'Central AC and HP Cost vs SEER'!D$58:K$64,8)</f>
        <v>0.794533569708932</v>
      </c>
      <c r="G55" s="98" t="s">
        <v>178</v>
      </c>
      <c r="H55"/>
      <c r="I55" s="94">
        <f>VLOOKUP('CAC &amp; HP Use &amp; Savings'!$B$137,'Central AC and HP Cost vs SEER'!$D$57:$M$64,10,0)</f>
        <v>30.13702443860285</v>
      </c>
      <c r="J55">
        <v>14</v>
      </c>
      <c r="K55"/>
      <c r="L55"/>
      <c r="M55"/>
      <c r="N55"/>
      <c r="O55"/>
      <c r="P55"/>
      <c r="Q55"/>
      <c r="R55"/>
      <c r="S55"/>
      <c r="T55"/>
      <c r="U55"/>
      <c r="V55"/>
      <c r="W55"/>
      <c r="Z55"/>
      <c r="AA55"/>
      <c r="AB55"/>
      <c r="AC55"/>
      <c r="AD55"/>
    </row>
    <row r="56" spans="1:30" ht="12" customHeight="1">
      <c r="A56" s="98" t="s">
        <v>434</v>
      </c>
      <c r="B56" s="98" t="s">
        <v>413</v>
      </c>
      <c r="C56" s="103">
        <f>'CAC &amp; HP Use &amp; Savings'!J37</f>
        <v>457.7625868038931</v>
      </c>
      <c r="D56" s="100">
        <v>18</v>
      </c>
      <c r="E56" s="102"/>
      <c r="F56" s="99">
        <v>0</v>
      </c>
      <c r="G56" s="98" t="s">
        <v>175</v>
      </c>
      <c r="H56"/>
      <c r="I56" s="94">
        <v>0</v>
      </c>
      <c r="J56"/>
      <c r="K56"/>
      <c r="L56"/>
      <c r="M56"/>
      <c r="N56"/>
      <c r="O56"/>
      <c r="P56"/>
      <c r="Q56"/>
      <c r="R56"/>
      <c r="S56"/>
      <c r="T56"/>
      <c r="U56"/>
      <c r="V56"/>
      <c r="W56"/>
      <c r="Z56"/>
      <c r="AA56"/>
      <c r="AB56"/>
      <c r="AC56"/>
      <c r="AD56"/>
    </row>
    <row r="57" spans="1:30" ht="12" customHeight="1">
      <c r="A57" s="98" t="s">
        <v>435</v>
      </c>
      <c r="B57" s="98" t="str">
        <f aca="true" t="shared" si="24" ref="B57:G57">B51</f>
        <v>SGC Manufactured Home HP Upgrade HSPF 8 w/PTCS - Cooling Zone 1</v>
      </c>
      <c r="C57" s="99">
        <f t="shared" si="24"/>
        <v>1779.7207198769984</v>
      </c>
      <c r="D57" s="100">
        <f t="shared" si="24"/>
        <v>18</v>
      </c>
      <c r="E57" s="102">
        <f t="shared" si="24"/>
        <v>900.1566419228243</v>
      </c>
      <c r="F57" s="99">
        <f t="shared" si="24"/>
        <v>0.794533569708932</v>
      </c>
      <c r="G57" s="98" t="str">
        <f t="shared" si="24"/>
        <v>ResSpHtHPZ1</v>
      </c>
      <c r="H57"/>
      <c r="I57" s="94">
        <f>I51</f>
        <v>30.13702443860285</v>
      </c>
      <c r="J57">
        <f>J51</f>
        <v>14</v>
      </c>
      <c r="K57"/>
      <c r="L57"/>
      <c r="M57"/>
      <c r="N57"/>
      <c r="O57"/>
      <c r="P57"/>
      <c r="Q57"/>
      <c r="R57"/>
      <c r="S57"/>
      <c r="T57"/>
      <c r="U57"/>
      <c r="V57"/>
      <c r="W57"/>
      <c r="Z57"/>
      <c r="AA57"/>
      <c r="AB57"/>
      <c r="AC57"/>
      <c r="AD57"/>
    </row>
    <row r="58" spans="1:30" ht="12" customHeight="1">
      <c r="A58" s="98" t="s">
        <v>435</v>
      </c>
      <c r="B58" s="98" t="str">
        <f aca="true" t="shared" si="25" ref="B58:G58">B54</f>
        <v>SGC Manufactured Home CAC Upgrade SEER 12 w/PTCS - Cooling Zone 2</v>
      </c>
      <c r="C58" s="99">
        <f t="shared" si="25"/>
        <v>214.66952066058445</v>
      </c>
      <c r="D58" s="100">
        <f t="shared" si="25"/>
        <v>18</v>
      </c>
      <c r="E58" s="102">
        <f t="shared" si="25"/>
        <v>0</v>
      </c>
      <c r="F58" s="99">
        <f t="shared" si="25"/>
        <v>0</v>
      </c>
      <c r="G58" s="98" t="str">
        <f t="shared" si="25"/>
        <v>ResCACZ2</v>
      </c>
      <c r="H58"/>
      <c r="I58" s="99">
        <f>I54</f>
        <v>0</v>
      </c>
      <c r="J58"/>
      <c r="K58"/>
      <c r="L58"/>
      <c r="M58"/>
      <c r="N58"/>
      <c r="O58"/>
      <c r="P58"/>
      <c r="Q58"/>
      <c r="R58"/>
      <c r="S58"/>
      <c r="T58"/>
      <c r="U58"/>
      <c r="V58"/>
      <c r="W58"/>
      <c r="Z58"/>
      <c r="AA58"/>
      <c r="AB58"/>
      <c r="AC58"/>
      <c r="AD58"/>
    </row>
    <row r="59" spans="1:30" ht="12" customHeight="1">
      <c r="A59" s="98" t="s">
        <v>436</v>
      </c>
      <c r="B59" s="98" t="str">
        <f aca="true" t="shared" si="26" ref="B59:G59">B51</f>
        <v>SGC Manufactured Home HP Upgrade HSPF 8 w/PTCS - Cooling Zone 1</v>
      </c>
      <c r="C59" s="99">
        <f t="shared" si="26"/>
        <v>1779.7207198769984</v>
      </c>
      <c r="D59" s="100">
        <f t="shared" si="26"/>
        <v>18</v>
      </c>
      <c r="E59" s="102">
        <f t="shared" si="26"/>
        <v>900.1566419228243</v>
      </c>
      <c r="F59" s="99">
        <f t="shared" si="26"/>
        <v>0.794533569708932</v>
      </c>
      <c r="G59" s="98" t="str">
        <f t="shared" si="26"/>
        <v>ResSpHtHPZ1</v>
      </c>
      <c r="H59"/>
      <c r="I59" s="94">
        <f>I51</f>
        <v>30.13702443860285</v>
      </c>
      <c r="J59">
        <f>J51</f>
        <v>14</v>
      </c>
      <c r="K59"/>
      <c r="L59"/>
      <c r="M59"/>
      <c r="N59"/>
      <c r="O59"/>
      <c r="P59"/>
      <c r="Q59"/>
      <c r="R59"/>
      <c r="S59"/>
      <c r="T59"/>
      <c r="U59"/>
      <c r="V59"/>
      <c r="W59"/>
      <c r="Z59"/>
      <c r="AA59"/>
      <c r="AB59"/>
      <c r="AC59"/>
      <c r="AD59"/>
    </row>
    <row r="60" spans="1:30" ht="12" customHeight="1">
      <c r="A60" s="98" t="s">
        <v>436</v>
      </c>
      <c r="B60" s="98" t="str">
        <f aca="true" t="shared" si="27" ref="B60:G60">B56</f>
        <v>SGC Manufactured Home CAC Upgrade SEER 12 w/PTCS - Cooling Zone 3</v>
      </c>
      <c r="C60" s="99">
        <f t="shared" si="27"/>
        <v>457.7625868038931</v>
      </c>
      <c r="D60" s="100">
        <f t="shared" si="27"/>
        <v>18</v>
      </c>
      <c r="E60" s="102">
        <f t="shared" si="27"/>
        <v>0</v>
      </c>
      <c r="F60" s="99">
        <f t="shared" si="27"/>
        <v>0</v>
      </c>
      <c r="G60" s="98" t="str">
        <f t="shared" si="27"/>
        <v>ResCACZ3</v>
      </c>
      <c r="H60"/>
      <c r="I60" s="94">
        <f>I56</f>
        <v>0</v>
      </c>
      <c r="J60"/>
      <c r="K60"/>
      <c r="L60"/>
      <c r="M60"/>
      <c r="N60"/>
      <c r="O60"/>
      <c r="P60"/>
      <c r="Q60"/>
      <c r="R60"/>
      <c r="S60"/>
      <c r="T60"/>
      <c r="U60"/>
      <c r="V60"/>
      <c r="W60"/>
      <c r="Z60"/>
      <c r="AA60"/>
      <c r="AB60"/>
      <c r="AC60"/>
      <c r="AD60"/>
    </row>
    <row r="61" spans="1:30" ht="12" customHeight="1">
      <c r="A61" s="98" t="s">
        <v>437</v>
      </c>
      <c r="B61" s="98" t="str">
        <f aca="true" t="shared" si="28" ref="B61:G61">B53</f>
        <v>SGC Manufactured Home HP Upgrade HSPF 8 w/PTCS - Cooling Zone 2</v>
      </c>
      <c r="C61" s="99">
        <f t="shared" si="28"/>
        <v>2816.7731014733</v>
      </c>
      <c r="D61" s="100">
        <f t="shared" si="28"/>
        <v>18</v>
      </c>
      <c r="E61" s="102">
        <f t="shared" si="28"/>
        <v>900.1566419228243</v>
      </c>
      <c r="F61" s="99">
        <f t="shared" si="28"/>
        <v>0.794533569708932</v>
      </c>
      <c r="G61" s="98" t="str">
        <f t="shared" si="28"/>
        <v>ResSpHtHPZ2</v>
      </c>
      <c r="H61"/>
      <c r="I61" s="94">
        <f>I53</f>
        <v>30.13702443860285</v>
      </c>
      <c r="J61">
        <f>J53</f>
        <v>14</v>
      </c>
      <c r="K61"/>
      <c r="L61"/>
      <c r="M61"/>
      <c r="N61"/>
      <c r="O61"/>
      <c r="P61"/>
      <c r="Q61"/>
      <c r="R61"/>
      <c r="S61"/>
      <c r="T61"/>
      <c r="U61"/>
      <c r="V61"/>
      <c r="W61"/>
      <c r="Z61"/>
      <c r="AA61"/>
      <c r="AB61"/>
      <c r="AC61"/>
      <c r="AD61"/>
    </row>
    <row r="62" spans="1:30" ht="12" customHeight="1">
      <c r="A62" s="98" t="s">
        <v>437</v>
      </c>
      <c r="B62" s="98" t="str">
        <f aca="true" t="shared" si="29" ref="B62:G62">B56</f>
        <v>SGC Manufactured Home CAC Upgrade SEER 12 w/PTCS - Cooling Zone 3</v>
      </c>
      <c r="C62" s="99">
        <f t="shared" si="29"/>
        <v>457.7625868038931</v>
      </c>
      <c r="D62" s="100">
        <f t="shared" si="29"/>
        <v>18</v>
      </c>
      <c r="E62" s="102">
        <f t="shared" si="29"/>
        <v>0</v>
      </c>
      <c r="F62" s="99">
        <f t="shared" si="29"/>
        <v>0</v>
      </c>
      <c r="G62" s="98" t="str">
        <f t="shared" si="29"/>
        <v>ResCACZ3</v>
      </c>
      <c r="H62"/>
      <c r="I62" s="99">
        <f>I56</f>
        <v>0</v>
      </c>
      <c r="J62"/>
      <c r="K62"/>
      <c r="L62"/>
      <c r="M62"/>
      <c r="N62"/>
      <c r="O62"/>
      <c r="P62"/>
      <c r="Q62"/>
      <c r="R62"/>
      <c r="S62"/>
      <c r="T62"/>
      <c r="U62"/>
      <c r="V62"/>
      <c r="W62"/>
      <c r="Z62"/>
      <c r="AA62"/>
      <c r="AB62"/>
      <c r="AC62"/>
      <c r="AD62"/>
    </row>
    <row r="63" spans="1:30" ht="12" customHeight="1">
      <c r="A63" s="98" t="s">
        <v>438</v>
      </c>
      <c r="B63" s="98" t="str">
        <f aca="true" t="shared" si="30" ref="B63:G63">B53</f>
        <v>SGC Manufactured Home HP Upgrade HSPF 8 w/PTCS - Cooling Zone 2</v>
      </c>
      <c r="C63" s="99">
        <f t="shared" si="30"/>
        <v>2816.7731014733</v>
      </c>
      <c r="D63" s="100">
        <f t="shared" si="30"/>
        <v>18</v>
      </c>
      <c r="E63" s="102">
        <f t="shared" si="30"/>
        <v>900.1566419228243</v>
      </c>
      <c r="F63" s="99">
        <f t="shared" si="30"/>
        <v>0.794533569708932</v>
      </c>
      <c r="G63" s="98" t="str">
        <f t="shared" si="30"/>
        <v>ResSpHtHPZ2</v>
      </c>
      <c r="H63"/>
      <c r="I63" s="94">
        <f>I53</f>
        <v>30.13702443860285</v>
      </c>
      <c r="J63">
        <f>J53</f>
        <v>14</v>
      </c>
      <c r="K63"/>
      <c r="L63"/>
      <c r="M63"/>
      <c r="N63"/>
      <c r="O63"/>
      <c r="P63"/>
      <c r="Q63"/>
      <c r="R63"/>
      <c r="S63"/>
      <c r="T63"/>
      <c r="U63"/>
      <c r="V63"/>
      <c r="W63"/>
      <c r="Z63"/>
      <c r="AA63"/>
      <c r="AB63"/>
      <c r="AC63"/>
      <c r="AD63"/>
    </row>
    <row r="64" spans="1:30" ht="12" customHeight="1">
      <c r="A64" s="98" t="s">
        <v>438</v>
      </c>
      <c r="B64" s="98" t="str">
        <f aca="true" t="shared" si="31" ref="B64:G64">B52</f>
        <v>SGC Manufactured Home CAC Upgrade SEER 12 w/PTCS - Cooling Zone 1</v>
      </c>
      <c r="C64" s="99">
        <f t="shared" si="31"/>
        <v>101.08871041512634</v>
      </c>
      <c r="D64" s="100">
        <f t="shared" si="31"/>
        <v>18</v>
      </c>
      <c r="E64" s="102">
        <f t="shared" si="31"/>
        <v>0</v>
      </c>
      <c r="F64" s="99">
        <f t="shared" si="31"/>
        <v>0</v>
      </c>
      <c r="G64" s="98" t="str">
        <f t="shared" si="31"/>
        <v>ResCACZ1</v>
      </c>
      <c r="H64"/>
      <c r="I64" s="99">
        <f>I52</f>
        <v>0</v>
      </c>
      <c r="J64"/>
      <c r="K64"/>
      <c r="L64"/>
      <c r="M64"/>
      <c r="N64"/>
      <c r="O64"/>
      <c r="P64"/>
      <c r="Q64"/>
      <c r="R64"/>
      <c r="S64"/>
      <c r="T64"/>
      <c r="U64"/>
      <c r="V64"/>
      <c r="W64"/>
      <c r="Z64"/>
      <c r="AA64"/>
      <c r="AB64"/>
      <c r="AC64"/>
      <c r="AD64"/>
    </row>
    <row r="65" spans="1:30" ht="12" customHeight="1">
      <c r="A65" s="98" t="s">
        <v>439</v>
      </c>
      <c r="B65" s="98" t="str">
        <f aca="true" t="shared" si="32" ref="B65:G65">B55</f>
        <v>SGC Manufactured Home HP Upgrade HSPF 8 w/PTCS - Cooling Zone 3</v>
      </c>
      <c r="C65" s="99">
        <f t="shared" si="32"/>
        <v>3582.869701695641</v>
      </c>
      <c r="D65" s="100">
        <f t="shared" si="32"/>
        <v>18</v>
      </c>
      <c r="E65" s="102">
        <f t="shared" si="32"/>
        <v>900.1566419228243</v>
      </c>
      <c r="F65" s="99">
        <f t="shared" si="32"/>
        <v>0.794533569708932</v>
      </c>
      <c r="G65" s="98" t="str">
        <f t="shared" si="32"/>
        <v>ResSpHtHPZ3</v>
      </c>
      <c r="H65"/>
      <c r="I65" s="94">
        <f>I55</f>
        <v>30.13702443860285</v>
      </c>
      <c r="J65">
        <f>J55</f>
        <v>14</v>
      </c>
      <c r="K65"/>
      <c r="L65"/>
      <c r="M65"/>
      <c r="N65"/>
      <c r="O65"/>
      <c r="P65"/>
      <c r="Q65"/>
      <c r="R65"/>
      <c r="S65"/>
      <c r="T65"/>
      <c r="U65"/>
      <c r="V65"/>
      <c r="W65"/>
      <c r="Z65"/>
      <c r="AA65"/>
      <c r="AB65"/>
      <c r="AC65"/>
      <c r="AD65"/>
    </row>
    <row r="66" spans="1:30" ht="12" customHeight="1">
      <c r="A66" s="98" t="s">
        <v>439</v>
      </c>
      <c r="B66" s="98" t="str">
        <f aca="true" t="shared" si="33" ref="B66:G66">B52</f>
        <v>SGC Manufactured Home CAC Upgrade SEER 12 w/PTCS - Cooling Zone 1</v>
      </c>
      <c r="C66" s="99">
        <f t="shared" si="33"/>
        <v>101.08871041512634</v>
      </c>
      <c r="D66" s="100">
        <f t="shared" si="33"/>
        <v>18</v>
      </c>
      <c r="E66" s="102">
        <f t="shared" si="33"/>
        <v>0</v>
      </c>
      <c r="F66" s="99">
        <f t="shared" si="33"/>
        <v>0</v>
      </c>
      <c r="G66" s="98" t="str">
        <f t="shared" si="33"/>
        <v>ResCACZ1</v>
      </c>
      <c r="H66"/>
      <c r="I66" s="94">
        <f>I52</f>
        <v>0</v>
      </c>
      <c r="J66"/>
      <c r="K66"/>
      <c r="L66"/>
      <c r="M66"/>
      <c r="N66"/>
      <c r="O66"/>
      <c r="P66"/>
      <c r="Q66"/>
      <c r="R66"/>
      <c r="S66"/>
      <c r="T66"/>
      <c r="U66"/>
      <c r="V66"/>
      <c r="W66"/>
      <c r="Z66"/>
      <c r="AA66"/>
      <c r="AB66"/>
      <c r="AC66"/>
      <c r="AD66"/>
    </row>
    <row r="67" spans="1:30" ht="12" customHeight="1">
      <c r="A67" s="98" t="s">
        <v>440</v>
      </c>
      <c r="B67" s="98" t="str">
        <f aca="true" t="shared" si="34" ref="B67:G67">B55</f>
        <v>SGC Manufactured Home HP Upgrade HSPF 8 w/PTCS - Cooling Zone 3</v>
      </c>
      <c r="C67" s="99">
        <f t="shared" si="34"/>
        <v>3582.869701695641</v>
      </c>
      <c r="D67" s="100">
        <f t="shared" si="34"/>
        <v>18</v>
      </c>
      <c r="E67" s="102">
        <f t="shared" si="34"/>
        <v>900.1566419228243</v>
      </c>
      <c r="F67" s="99">
        <f t="shared" si="34"/>
        <v>0.794533569708932</v>
      </c>
      <c r="G67" s="98" t="str">
        <f t="shared" si="34"/>
        <v>ResSpHtHPZ3</v>
      </c>
      <c r="H67"/>
      <c r="I67" s="94">
        <f>I55</f>
        <v>30.13702443860285</v>
      </c>
      <c r="J67">
        <f>J55</f>
        <v>14</v>
      </c>
      <c r="K67"/>
      <c r="L67"/>
      <c r="M67"/>
      <c r="N67"/>
      <c r="O67"/>
      <c r="P67"/>
      <c r="Q67"/>
      <c r="R67"/>
      <c r="S67"/>
      <c r="T67"/>
      <c r="U67"/>
      <c r="V67"/>
      <c r="W67"/>
      <c r="Z67"/>
      <c r="AA67"/>
      <c r="AB67"/>
      <c r="AC67"/>
      <c r="AD67"/>
    </row>
    <row r="68" spans="1:30" ht="12" customHeight="1">
      <c r="A68" s="98" t="s">
        <v>440</v>
      </c>
      <c r="B68" s="98" t="str">
        <f aca="true" t="shared" si="35" ref="B68:G68">B54</f>
        <v>SGC Manufactured Home CAC Upgrade SEER 12 w/PTCS - Cooling Zone 2</v>
      </c>
      <c r="C68" s="99">
        <f t="shared" si="35"/>
        <v>214.66952066058445</v>
      </c>
      <c r="D68" s="100">
        <f t="shared" si="35"/>
        <v>18</v>
      </c>
      <c r="E68" s="102">
        <f t="shared" si="35"/>
        <v>0</v>
      </c>
      <c r="F68" s="99">
        <f t="shared" si="35"/>
        <v>0</v>
      </c>
      <c r="G68" s="98" t="str">
        <f t="shared" si="35"/>
        <v>ResCACZ2</v>
      </c>
      <c r="H68"/>
      <c r="I68" s="99">
        <f>I54</f>
        <v>0</v>
      </c>
      <c r="J68"/>
      <c r="K68"/>
      <c r="L68"/>
      <c r="M68"/>
      <c r="N68"/>
      <c r="O68"/>
      <c r="P68"/>
      <c r="Q68"/>
      <c r="R68"/>
      <c r="S68"/>
      <c r="T68"/>
      <c r="U68"/>
      <c r="V68"/>
      <c r="W68"/>
      <c r="Z68"/>
      <c r="AA68"/>
      <c r="AB68"/>
      <c r="AC68"/>
      <c r="AD68"/>
    </row>
    <row r="69" spans="1:41" ht="12.75" customHeight="1">
      <c r="A69"/>
      <c r="B69"/>
      <c r="C69"/>
      <c r="D69"/>
      <c r="E69"/>
      <c r="F69"/>
      <c r="G69"/>
      <c r="H69"/>
      <c r="I69"/>
      <c r="J69"/>
      <c r="K69"/>
      <c r="L69"/>
      <c r="M69"/>
      <c r="N69"/>
      <c r="O69"/>
      <c r="P69"/>
      <c r="Q69"/>
      <c r="R69"/>
      <c r="S69"/>
      <c r="T69"/>
      <c r="U69"/>
      <c r="V69"/>
      <c r="W69"/>
      <c r="Z69"/>
      <c r="AA69"/>
      <c r="AB69"/>
      <c r="AC69"/>
      <c r="AD69"/>
      <c r="AE69"/>
      <c r="AF69"/>
      <c r="AG69"/>
      <c r="AH69"/>
      <c r="AI69"/>
      <c r="AJ69"/>
      <c r="AK69"/>
      <c r="AL69"/>
      <c r="AM69"/>
      <c r="AN69"/>
      <c r="AO69"/>
    </row>
    <row r="70" spans="1:41" ht="12.75" customHeight="1" thickBot="1">
      <c r="A70"/>
      <c r="B70"/>
      <c r="C70"/>
      <c r="D70"/>
      <c r="E70"/>
      <c r="F70"/>
      <c r="G70"/>
      <c r="H70"/>
      <c r="I70"/>
      <c r="J70"/>
      <c r="K70"/>
      <c r="L70"/>
      <c r="M70"/>
      <c r="N70"/>
      <c r="O70"/>
      <c r="P70"/>
      <c r="Q70"/>
      <c r="R70"/>
      <c r="S70"/>
      <c r="T70"/>
      <c r="U70"/>
      <c r="V70"/>
      <c r="W70"/>
      <c r="Z70"/>
      <c r="AA70"/>
      <c r="AB70"/>
      <c r="AC70"/>
      <c r="AD70"/>
      <c r="AE70"/>
      <c r="AF70"/>
      <c r="AG70"/>
      <c r="AH70"/>
      <c r="AI70"/>
      <c r="AJ70"/>
      <c r="AK70"/>
      <c r="AL70"/>
      <c r="AM70"/>
      <c r="AN70"/>
      <c r="AO70"/>
    </row>
    <row r="71" spans="1:41" ht="12.75" customHeight="1" thickBot="1">
      <c r="A71" s="86" t="s">
        <v>508</v>
      </c>
      <c r="B71" s="50"/>
      <c r="C71" s="50"/>
      <c r="D71" s="51"/>
      <c r="E71"/>
      <c r="F71"/>
      <c r="G71"/>
      <c r="H71"/>
      <c r="I71"/>
      <c r="J71"/>
      <c r="K71"/>
      <c r="L71"/>
      <c r="M71"/>
      <c r="N71"/>
      <c r="O71"/>
      <c r="P71"/>
      <c r="Q71"/>
      <c r="R71"/>
      <c r="S71"/>
      <c r="T71"/>
      <c r="U71"/>
      <c r="V71"/>
      <c r="W71"/>
      <c r="Z71"/>
      <c r="AA71"/>
      <c r="AB71"/>
      <c r="AC71"/>
      <c r="AD71"/>
      <c r="AE71"/>
      <c r="AF71"/>
      <c r="AG71"/>
      <c r="AH71"/>
      <c r="AI71"/>
      <c r="AJ71"/>
      <c r="AK71"/>
      <c r="AL71"/>
      <c r="AM71"/>
      <c r="AN71"/>
      <c r="AO71"/>
    </row>
    <row r="72" spans="1:41" ht="12.75" customHeight="1" thickBot="1">
      <c r="A72" s="52" t="s">
        <v>128</v>
      </c>
      <c r="B72" s="53"/>
      <c r="C72" s="54" t="s">
        <v>78</v>
      </c>
      <c r="D72" s="56"/>
      <c r="E72" s="56"/>
      <c r="F72" s="56"/>
      <c r="G72" s="56"/>
      <c r="H72" s="56"/>
      <c r="I72" s="56"/>
      <c r="J72" s="55"/>
      <c r="K72" s="54" t="s">
        <v>45</v>
      </c>
      <c r="L72" s="56"/>
      <c r="M72" s="55"/>
      <c r="N72" s="54" t="s">
        <v>46</v>
      </c>
      <c r="O72" s="56"/>
      <c r="P72" s="56"/>
      <c r="Q72" s="55"/>
      <c r="R72" s="54" t="s">
        <v>47</v>
      </c>
      <c r="S72" s="55"/>
      <c r="T72" s="54" t="s">
        <v>48</v>
      </c>
      <c r="U72" s="56"/>
      <c r="V72" s="56"/>
      <c r="W72" s="56"/>
      <c r="X72" s="55"/>
      <c r="Y72" s="54" t="s">
        <v>49</v>
      </c>
      <c r="Z72" s="56"/>
      <c r="AA72" s="56"/>
      <c r="AB72" s="56"/>
      <c r="AC72" s="55"/>
      <c r="AD72" s="54" t="s">
        <v>79</v>
      </c>
      <c r="AE72" s="56"/>
      <c r="AF72" s="56"/>
      <c r="AG72" s="56"/>
      <c r="AH72" s="56"/>
      <c r="AI72" s="55"/>
      <c r="AJ72" s="54" t="s">
        <v>80</v>
      </c>
      <c r="AK72" s="56"/>
      <c r="AL72" s="56"/>
      <c r="AM72" s="56"/>
      <c r="AN72" s="56"/>
      <c r="AO72" s="55"/>
    </row>
    <row r="73" spans="1:41" ht="51">
      <c r="A73" s="57" t="s">
        <v>51</v>
      </c>
      <c r="B73" s="58" t="s">
        <v>52</v>
      </c>
      <c r="C73" s="59" t="s">
        <v>81</v>
      </c>
      <c r="D73" s="59" t="s">
        <v>82</v>
      </c>
      <c r="E73" s="59" t="s">
        <v>83</v>
      </c>
      <c r="F73" s="59" t="s">
        <v>84</v>
      </c>
      <c r="G73" s="59" t="s">
        <v>147</v>
      </c>
      <c r="H73" s="59" t="s">
        <v>86</v>
      </c>
      <c r="I73" s="59" t="s">
        <v>87</v>
      </c>
      <c r="J73" s="59" t="s">
        <v>88</v>
      </c>
      <c r="K73" s="59" t="s">
        <v>89</v>
      </c>
      <c r="L73" s="59" t="s">
        <v>90</v>
      </c>
      <c r="M73" s="59" t="s">
        <v>91</v>
      </c>
      <c r="N73" s="59" t="s">
        <v>20</v>
      </c>
      <c r="O73" s="59" t="s">
        <v>21</v>
      </c>
      <c r="P73" s="59" t="s">
        <v>22</v>
      </c>
      <c r="Q73" s="59" t="s">
        <v>4</v>
      </c>
      <c r="R73" s="59" t="s">
        <v>53</v>
      </c>
      <c r="S73" s="59" t="s">
        <v>4</v>
      </c>
      <c r="T73" s="59" t="s">
        <v>20</v>
      </c>
      <c r="U73" s="59" t="s">
        <v>21</v>
      </c>
      <c r="V73" s="59" t="s">
        <v>22</v>
      </c>
      <c r="W73" s="59" t="s">
        <v>4</v>
      </c>
      <c r="X73" s="59" t="s">
        <v>57</v>
      </c>
      <c r="Y73" s="59" t="s">
        <v>20</v>
      </c>
      <c r="Z73" s="59" t="s">
        <v>21</v>
      </c>
      <c r="AA73" s="59" t="s">
        <v>22</v>
      </c>
      <c r="AB73" s="59" t="s">
        <v>4</v>
      </c>
      <c r="AC73" s="59" t="s">
        <v>57</v>
      </c>
      <c r="AD73" s="59" t="s">
        <v>92</v>
      </c>
      <c r="AE73" s="59" t="s">
        <v>93</v>
      </c>
      <c r="AF73" s="59" t="s">
        <v>56</v>
      </c>
      <c r="AG73" s="59" t="s">
        <v>94</v>
      </c>
      <c r="AH73" s="59" t="s">
        <v>95</v>
      </c>
      <c r="AI73" s="59" t="s">
        <v>96</v>
      </c>
      <c r="AJ73" s="59" t="s">
        <v>97</v>
      </c>
      <c r="AK73" s="59" t="s">
        <v>54</v>
      </c>
      <c r="AL73" s="59" t="s">
        <v>55</v>
      </c>
      <c r="AM73" s="59" t="s">
        <v>98</v>
      </c>
      <c r="AN73" s="59" t="s">
        <v>99</v>
      </c>
      <c r="AO73" s="59" t="s">
        <v>100</v>
      </c>
    </row>
    <row r="74" spans="1:41" ht="12.75" customHeight="1">
      <c r="A74" t="s">
        <v>387</v>
      </c>
      <c r="B74" t="s">
        <v>387</v>
      </c>
      <c r="C74" s="49">
        <v>18</v>
      </c>
      <c r="D74" s="49">
        <v>207.56678710600988</v>
      </c>
      <c r="E74" s="49">
        <v>646</v>
      </c>
      <c r="F74" s="49">
        <v>0.3</v>
      </c>
      <c r="G74" s="49">
        <v>0.9390273094177246</v>
      </c>
      <c r="H74" s="49" t="s">
        <v>173</v>
      </c>
      <c r="I74" s="49">
        <v>0.17</v>
      </c>
      <c r="J74" s="49">
        <v>0</v>
      </c>
      <c r="K74" s="49">
        <v>223.39375462284315</v>
      </c>
      <c r="L74" s="60">
        <v>0</v>
      </c>
      <c r="M74" s="49">
        <v>0.1500092362495589</v>
      </c>
      <c r="N74" s="49"/>
      <c r="O74" s="49"/>
      <c r="P74" s="49">
        <v>645.9970378439841</v>
      </c>
      <c r="Q74" s="49">
        <v>0</v>
      </c>
      <c r="R74" s="49">
        <v>0</v>
      </c>
      <c r="S74" s="49">
        <v>3.551356792449951</v>
      </c>
      <c r="T74" s="49">
        <v>0</v>
      </c>
      <c r="U74" s="49">
        <v>0</v>
      </c>
      <c r="V74" s="49">
        <v>645.9970378439841</v>
      </c>
      <c r="W74" s="49">
        <v>4.490384079043211</v>
      </c>
      <c r="X74" s="49">
        <v>650.4874219230273</v>
      </c>
      <c r="Y74" s="49">
        <v>0</v>
      </c>
      <c r="Z74" s="49">
        <v>0</v>
      </c>
      <c r="AA74" s="49">
        <v>242.56919860839844</v>
      </c>
      <c r="AB74" s="49">
        <v>1.6861205101013184</v>
      </c>
      <c r="AC74" s="49">
        <v>244.25532058715729</v>
      </c>
      <c r="AD74" s="49">
        <v>129.5178848575894</v>
      </c>
      <c r="AE74" s="49">
        <v>0</v>
      </c>
      <c r="AF74" s="49">
        <v>16.366214752197266</v>
      </c>
      <c r="AG74" s="49">
        <v>145.88409960978666</v>
      </c>
      <c r="AH74" s="49">
        <v>645.9970378439841</v>
      </c>
      <c r="AI74" s="69">
        <v>0.22582781508824717</v>
      </c>
      <c r="AJ74" s="49">
        <v>35.76612091064453</v>
      </c>
      <c r="AK74" s="49">
        <v>0</v>
      </c>
      <c r="AL74" s="49">
        <v>0</v>
      </c>
      <c r="AM74" s="49">
        <v>181.6502227783203</v>
      </c>
      <c r="AN74" s="49">
        <v>650.4874219230273</v>
      </c>
      <c r="AO74" s="69">
        <v>0.27925246953964233</v>
      </c>
    </row>
    <row r="75" spans="1:41" ht="12.75" customHeight="1">
      <c r="A75" t="s">
        <v>388</v>
      </c>
      <c r="B75" t="s">
        <v>388</v>
      </c>
      <c r="C75" s="49">
        <v>18</v>
      </c>
      <c r="D75" s="49">
        <v>377.13610312754486</v>
      </c>
      <c r="E75" s="49">
        <v>646</v>
      </c>
      <c r="F75" s="49">
        <v>0.3</v>
      </c>
      <c r="G75" s="49">
        <v>0.9390273094177246</v>
      </c>
      <c r="H75" s="49" t="s">
        <v>174</v>
      </c>
      <c r="I75" s="49">
        <v>0.17</v>
      </c>
      <c r="J75" s="49">
        <v>0</v>
      </c>
      <c r="K75" s="49">
        <v>405.89273099102013</v>
      </c>
      <c r="L75" s="60">
        <v>0</v>
      </c>
      <c r="M75" s="49">
        <v>0.27255756848712065</v>
      </c>
      <c r="N75" s="49"/>
      <c r="O75" s="49"/>
      <c r="P75" s="49">
        <v>645.9970378439841</v>
      </c>
      <c r="Q75" s="49">
        <v>0</v>
      </c>
      <c r="R75" s="49">
        <v>0</v>
      </c>
      <c r="S75" s="49">
        <v>3.551356792449951</v>
      </c>
      <c r="T75" s="49">
        <v>0</v>
      </c>
      <c r="U75" s="49">
        <v>0</v>
      </c>
      <c r="V75" s="49">
        <v>645.9970378439841</v>
      </c>
      <c r="W75" s="49">
        <v>4.490384079043211</v>
      </c>
      <c r="X75" s="49">
        <v>650.4874219230273</v>
      </c>
      <c r="Y75" s="49">
        <v>0</v>
      </c>
      <c r="Z75" s="49">
        <v>0</v>
      </c>
      <c r="AA75" s="49">
        <v>133.5043487548828</v>
      </c>
      <c r="AB75" s="49">
        <v>0.9280008673667908</v>
      </c>
      <c r="AC75" s="49">
        <v>134.43234871278955</v>
      </c>
      <c r="AD75" s="49">
        <v>246.32577754605924</v>
      </c>
      <c r="AE75" s="49">
        <v>0</v>
      </c>
      <c r="AF75" s="49">
        <v>30.836381912231445</v>
      </c>
      <c r="AG75" s="49">
        <v>277.1621594582907</v>
      </c>
      <c r="AH75" s="49">
        <v>645.9970378439841</v>
      </c>
      <c r="AI75" s="69">
        <v>0.42904555782998594</v>
      </c>
      <c r="AJ75" s="49">
        <v>64.98484802246094</v>
      </c>
      <c r="AK75" s="49">
        <v>0</v>
      </c>
      <c r="AL75" s="49">
        <v>0</v>
      </c>
      <c r="AM75" s="49">
        <v>342.1470031738281</v>
      </c>
      <c r="AN75" s="49">
        <v>650.4874219230273</v>
      </c>
      <c r="AO75" s="69">
        <v>0.525985598564148</v>
      </c>
    </row>
    <row r="76" spans="1:41" ht="12.75" customHeight="1">
      <c r="A76" t="s">
        <v>389</v>
      </c>
      <c r="B76" t="s">
        <v>389</v>
      </c>
      <c r="C76" s="49">
        <v>18</v>
      </c>
      <c r="D76" s="49">
        <v>603.8353620363548</v>
      </c>
      <c r="E76" s="49">
        <v>646</v>
      </c>
      <c r="F76" s="49">
        <v>0.3</v>
      </c>
      <c r="G76" s="49">
        <v>0.9390273094177246</v>
      </c>
      <c r="H76" s="49" t="s">
        <v>175</v>
      </c>
      <c r="I76" s="49">
        <v>0.17</v>
      </c>
      <c r="J76" s="49">
        <v>0</v>
      </c>
      <c r="K76" s="49">
        <v>649.8778083916268</v>
      </c>
      <c r="L76" s="60">
        <v>0</v>
      </c>
      <c r="M76" s="49">
        <v>0.4363939084015759</v>
      </c>
      <c r="N76" s="49"/>
      <c r="O76" s="49"/>
      <c r="P76" s="49">
        <v>645.9970378439841</v>
      </c>
      <c r="Q76" s="49">
        <v>0</v>
      </c>
      <c r="R76" s="49">
        <v>0</v>
      </c>
      <c r="S76" s="49">
        <v>3.551356792449951</v>
      </c>
      <c r="T76" s="49">
        <v>0</v>
      </c>
      <c r="U76" s="49">
        <v>0</v>
      </c>
      <c r="V76" s="49">
        <v>645.9970378439841</v>
      </c>
      <c r="W76" s="49">
        <v>4.490384079043211</v>
      </c>
      <c r="X76" s="49">
        <v>650.4874219230273</v>
      </c>
      <c r="Y76" s="49">
        <v>0</v>
      </c>
      <c r="Z76" s="49">
        <v>0</v>
      </c>
      <c r="AA76" s="49">
        <v>83.38251495361328</v>
      </c>
      <c r="AB76" s="49">
        <v>0.5795994400978088</v>
      </c>
      <c r="AC76" s="49">
        <v>83.9621117200689</v>
      </c>
      <c r="AD76" s="49">
        <v>443.8100165558724</v>
      </c>
      <c r="AE76" s="49">
        <v>0</v>
      </c>
      <c r="AF76" s="49">
        <v>54.31395721435547</v>
      </c>
      <c r="AG76" s="49">
        <v>498.12397377022785</v>
      </c>
      <c r="AH76" s="49">
        <v>645.9970378439841</v>
      </c>
      <c r="AI76" s="69">
        <v>0.771093278434708</v>
      </c>
      <c r="AJ76" s="49">
        <v>104.0477066040039</v>
      </c>
      <c r="AK76" s="49">
        <v>0</v>
      </c>
      <c r="AL76" s="49">
        <v>0</v>
      </c>
      <c r="AM76" s="49">
        <v>602.1716918945312</v>
      </c>
      <c r="AN76" s="49">
        <v>650.4874219230273</v>
      </c>
      <c r="AO76" s="69">
        <v>0.9257237911224365</v>
      </c>
    </row>
    <row r="77" spans="1:41" ht="12.75" customHeight="1">
      <c r="A77" t="s">
        <v>390</v>
      </c>
      <c r="B77" t="s">
        <v>390</v>
      </c>
      <c r="C77" s="49">
        <v>18</v>
      </c>
      <c r="D77" s="49">
        <v>154.88450140152065</v>
      </c>
      <c r="E77" s="49">
        <v>646</v>
      </c>
      <c r="F77" s="49">
        <v>0.3</v>
      </c>
      <c r="G77" s="49">
        <v>0.9390273094177246</v>
      </c>
      <c r="H77" s="49" t="s">
        <v>173</v>
      </c>
      <c r="I77" s="49">
        <v>0.17</v>
      </c>
      <c r="J77" s="49">
        <v>0</v>
      </c>
      <c r="K77" s="49">
        <v>166.69444463338658</v>
      </c>
      <c r="L77" s="60">
        <v>0</v>
      </c>
      <c r="M77" s="49">
        <v>0.1119355658295639</v>
      </c>
      <c r="N77" s="49"/>
      <c r="O77" s="49"/>
      <c r="P77" s="49">
        <v>645.9970378439841</v>
      </c>
      <c r="Q77" s="49">
        <v>0</v>
      </c>
      <c r="R77" s="49">
        <v>0</v>
      </c>
      <c r="S77" s="49">
        <v>3.551356792449951</v>
      </c>
      <c r="T77" s="49">
        <v>0</v>
      </c>
      <c r="U77" s="49">
        <v>0</v>
      </c>
      <c r="V77" s="49">
        <v>645.9970378439841</v>
      </c>
      <c r="W77" s="49">
        <v>4.490384079043211</v>
      </c>
      <c r="X77" s="49">
        <v>650.4874219230273</v>
      </c>
      <c r="Y77" s="49">
        <v>0</v>
      </c>
      <c r="Z77" s="49">
        <v>0</v>
      </c>
      <c r="AA77" s="49">
        <v>325.07647705078125</v>
      </c>
      <c r="AB77" s="49">
        <v>2.259636163711548</v>
      </c>
      <c r="AC77" s="49">
        <v>327.33612252392163</v>
      </c>
      <c r="AD77" s="49">
        <v>96.64510058876573</v>
      </c>
      <c r="AE77" s="49">
        <v>0</v>
      </c>
      <c r="AF77" s="49">
        <v>12.212325096130371</v>
      </c>
      <c r="AG77" s="49">
        <v>108.8574256848961</v>
      </c>
      <c r="AH77" s="49">
        <v>645.9970378439841</v>
      </c>
      <c r="AI77" s="69">
        <v>0.16851071956646718</v>
      </c>
      <c r="AJ77" s="49">
        <v>26.688364028930664</v>
      </c>
      <c r="AK77" s="49">
        <v>0</v>
      </c>
      <c r="AL77" s="49">
        <v>0</v>
      </c>
      <c r="AM77" s="49">
        <v>135.54579162597656</v>
      </c>
      <c r="AN77" s="49">
        <v>650.4874219230273</v>
      </c>
      <c r="AO77" s="69">
        <v>0.2083757370710373</v>
      </c>
    </row>
    <row r="78" spans="1:41" ht="12.75" customHeight="1">
      <c r="A78" t="s">
        <v>391</v>
      </c>
      <c r="B78" t="s">
        <v>391</v>
      </c>
      <c r="C78" s="49">
        <v>18</v>
      </c>
      <c r="D78" s="49">
        <v>310.50556530046606</v>
      </c>
      <c r="E78" s="49">
        <v>646</v>
      </c>
      <c r="F78" s="49">
        <v>0.3</v>
      </c>
      <c r="G78" s="49">
        <v>0.9390273094177246</v>
      </c>
      <c r="H78" s="49" t="s">
        <v>174</v>
      </c>
      <c r="I78" s="49">
        <v>0.17</v>
      </c>
      <c r="J78" s="49">
        <v>0</v>
      </c>
      <c r="K78" s="49">
        <v>334.18161465462657</v>
      </c>
      <c r="L78" s="60">
        <v>0</v>
      </c>
      <c r="M78" s="49">
        <v>0.22440344792816716</v>
      </c>
      <c r="N78" s="49"/>
      <c r="O78" s="49"/>
      <c r="P78" s="49">
        <v>645.9970378439841</v>
      </c>
      <c r="Q78" s="49">
        <v>0</v>
      </c>
      <c r="R78" s="49">
        <v>0</v>
      </c>
      <c r="S78" s="49">
        <v>3.551356792449951</v>
      </c>
      <c r="T78" s="49">
        <v>0</v>
      </c>
      <c r="U78" s="49">
        <v>0</v>
      </c>
      <c r="V78" s="49">
        <v>645.9970378439841</v>
      </c>
      <c r="W78" s="49">
        <v>4.490384079043211</v>
      </c>
      <c r="X78" s="49">
        <v>650.4874219230273</v>
      </c>
      <c r="Y78" s="49">
        <v>0</v>
      </c>
      <c r="Z78" s="49">
        <v>0</v>
      </c>
      <c r="AA78" s="49">
        <v>162.15267944335938</v>
      </c>
      <c r="AB78" s="49">
        <v>1.1271380186080933</v>
      </c>
      <c r="AC78" s="49">
        <v>163.2798177989648</v>
      </c>
      <c r="AD78" s="49">
        <v>202.80615982063404</v>
      </c>
      <c r="AE78" s="49">
        <v>0</v>
      </c>
      <c r="AF78" s="49">
        <v>25.388362884521484</v>
      </c>
      <c r="AG78" s="49">
        <v>228.19452270515552</v>
      </c>
      <c r="AH78" s="49">
        <v>645.9970378439841</v>
      </c>
      <c r="AI78" s="69">
        <v>0.3532439149670949</v>
      </c>
      <c r="AJ78" s="49">
        <v>53.50364685058594</v>
      </c>
      <c r="AK78" s="49">
        <v>0</v>
      </c>
      <c r="AL78" s="49">
        <v>0</v>
      </c>
      <c r="AM78" s="49">
        <v>281.69818115234375</v>
      </c>
      <c r="AN78" s="49">
        <v>650.4874219230273</v>
      </c>
      <c r="AO78" s="69">
        <v>0.4330570697784424</v>
      </c>
    </row>
    <row r="79" spans="1:41" ht="12.75" customHeight="1">
      <c r="A79" t="s">
        <v>392</v>
      </c>
      <c r="B79" t="s">
        <v>392</v>
      </c>
      <c r="C79" s="49">
        <v>18</v>
      </c>
      <c r="D79" s="49">
        <v>644.8773394162517</v>
      </c>
      <c r="E79" s="49">
        <v>646</v>
      </c>
      <c r="F79" s="49">
        <v>0.3</v>
      </c>
      <c r="G79" s="49">
        <v>0.9390273094177246</v>
      </c>
      <c r="H79" s="49" t="s">
        <v>175</v>
      </c>
      <c r="I79" s="49">
        <v>0.17</v>
      </c>
      <c r="J79" s="49">
        <v>0</v>
      </c>
      <c r="K79" s="49">
        <v>694.0492365467409</v>
      </c>
      <c r="L79" s="60">
        <v>0</v>
      </c>
      <c r="M79" s="49">
        <v>0.46605508766232934</v>
      </c>
      <c r="N79" s="49"/>
      <c r="O79" s="49"/>
      <c r="P79" s="49">
        <v>645.9970378439841</v>
      </c>
      <c r="Q79" s="49">
        <v>0</v>
      </c>
      <c r="R79" s="49">
        <v>0</v>
      </c>
      <c r="S79" s="49">
        <v>3.551356792449951</v>
      </c>
      <c r="T79" s="49">
        <v>0</v>
      </c>
      <c r="U79" s="49">
        <v>0</v>
      </c>
      <c r="V79" s="49">
        <v>645.9970378439841</v>
      </c>
      <c r="W79" s="49">
        <v>4.490384079043211</v>
      </c>
      <c r="X79" s="49">
        <v>650.4874219230273</v>
      </c>
      <c r="Y79" s="49">
        <v>0</v>
      </c>
      <c r="Z79" s="49">
        <v>0</v>
      </c>
      <c r="AA79" s="49">
        <v>78.07579040527344</v>
      </c>
      <c r="AB79" s="49">
        <v>0.5427119135856628</v>
      </c>
      <c r="AC79" s="49">
        <v>78.61850468139893</v>
      </c>
      <c r="AD79" s="49">
        <v>473.97525994114005</v>
      </c>
      <c r="AE79" s="49">
        <v>0</v>
      </c>
      <c r="AF79" s="49">
        <v>58.005611419677734</v>
      </c>
      <c r="AG79" s="49">
        <v>531.9808713608178</v>
      </c>
      <c r="AH79" s="49">
        <v>645.9970378439841</v>
      </c>
      <c r="AI79" s="69">
        <v>0.8235035769456538</v>
      </c>
      <c r="AJ79" s="49">
        <v>111.11970520019531</v>
      </c>
      <c r="AK79" s="49">
        <v>0</v>
      </c>
      <c r="AL79" s="49">
        <v>0</v>
      </c>
      <c r="AM79" s="49">
        <v>643.1005859375</v>
      </c>
      <c r="AN79" s="49">
        <v>650.4874219230273</v>
      </c>
      <c r="AO79" s="69">
        <v>0.9886441230773926</v>
      </c>
    </row>
    <row r="80" spans="1:41" ht="12.75" customHeight="1">
      <c r="A80" t="s">
        <v>393</v>
      </c>
      <c r="B80" t="s">
        <v>393</v>
      </c>
      <c r="C80" s="49">
        <v>18</v>
      </c>
      <c r="D80" s="49">
        <v>101.08871041512634</v>
      </c>
      <c r="E80" s="49">
        <v>646</v>
      </c>
      <c r="F80" s="49">
        <v>0.3</v>
      </c>
      <c r="G80" s="49">
        <v>0.9390273094177246</v>
      </c>
      <c r="H80" s="49" t="s">
        <v>173</v>
      </c>
      <c r="I80" s="49">
        <v>0.17</v>
      </c>
      <c r="J80" s="49">
        <v>0</v>
      </c>
      <c r="K80" s="49">
        <v>108.79672458427973</v>
      </c>
      <c r="L80" s="60">
        <v>0</v>
      </c>
      <c r="M80" s="49">
        <v>0.07305716128409866</v>
      </c>
      <c r="N80" s="49"/>
      <c r="O80" s="49"/>
      <c r="P80" s="49">
        <v>645.9970378439841</v>
      </c>
      <c r="Q80" s="49">
        <v>0</v>
      </c>
      <c r="R80" s="49">
        <v>0</v>
      </c>
      <c r="S80" s="49">
        <v>3.551356792449951</v>
      </c>
      <c r="T80" s="49">
        <v>0</v>
      </c>
      <c r="U80" s="49">
        <v>0</v>
      </c>
      <c r="V80" s="49">
        <v>645.9970378439841</v>
      </c>
      <c r="W80" s="49">
        <v>4.490384079043211</v>
      </c>
      <c r="X80" s="49">
        <v>650.4874219230273</v>
      </c>
      <c r="Y80" s="49">
        <v>0</v>
      </c>
      <c r="Z80" s="49">
        <v>0</v>
      </c>
      <c r="AA80" s="49">
        <v>498.070556640625</v>
      </c>
      <c r="AB80" s="49">
        <v>3.4621336460113525</v>
      </c>
      <c r="AC80" s="49">
        <v>501.53268272614457</v>
      </c>
      <c r="AD80" s="49">
        <v>63.0775093573216</v>
      </c>
      <c r="AE80" s="49">
        <v>0</v>
      </c>
      <c r="AF80" s="49">
        <v>7.970637321472168</v>
      </c>
      <c r="AG80" s="49">
        <v>71.04814667879377</v>
      </c>
      <c r="AH80" s="49">
        <v>645.9970378439841</v>
      </c>
      <c r="AI80" s="69">
        <v>0.1099821555156306</v>
      </c>
      <c r="AJ80" s="49">
        <v>17.41873550415039</v>
      </c>
      <c r="AK80" s="49">
        <v>0</v>
      </c>
      <c r="AL80" s="49">
        <v>0</v>
      </c>
      <c r="AM80" s="49">
        <v>88.46688079833984</v>
      </c>
      <c r="AN80" s="49">
        <v>650.4874219230273</v>
      </c>
      <c r="AO80" s="69">
        <v>0.13600091636180878</v>
      </c>
    </row>
    <row r="81" spans="1:41" ht="12.75" customHeight="1">
      <c r="A81" t="s">
        <v>394</v>
      </c>
      <c r="B81" t="s">
        <v>394</v>
      </c>
      <c r="C81" s="49">
        <v>18</v>
      </c>
      <c r="D81" s="49">
        <v>214.66952066058445</v>
      </c>
      <c r="E81" s="49">
        <v>646</v>
      </c>
      <c r="F81" s="49">
        <v>0.3</v>
      </c>
      <c r="G81" s="49">
        <v>0.9390273094177246</v>
      </c>
      <c r="H81" s="49" t="s">
        <v>174</v>
      </c>
      <c r="I81" s="49">
        <v>0.17</v>
      </c>
      <c r="J81" s="49">
        <v>0</v>
      </c>
      <c r="K81" s="49">
        <v>231.038071610954</v>
      </c>
      <c r="L81" s="60">
        <v>0</v>
      </c>
      <c r="M81" s="49">
        <v>0.15514240640004967</v>
      </c>
      <c r="N81" s="49"/>
      <c r="O81" s="49"/>
      <c r="P81" s="49">
        <v>645.9970378439841</v>
      </c>
      <c r="Q81" s="49">
        <v>0</v>
      </c>
      <c r="R81" s="49">
        <v>0</v>
      </c>
      <c r="S81" s="49">
        <v>3.551356792449951</v>
      </c>
      <c r="T81" s="49">
        <v>0</v>
      </c>
      <c r="U81" s="49">
        <v>0</v>
      </c>
      <c r="V81" s="49">
        <v>645.9970378439841</v>
      </c>
      <c r="W81" s="49">
        <v>4.490384079043211</v>
      </c>
      <c r="X81" s="49">
        <v>650.4874219230273</v>
      </c>
      <c r="Y81" s="49">
        <v>0</v>
      </c>
      <c r="Z81" s="49">
        <v>0</v>
      </c>
      <c r="AA81" s="49">
        <v>234.54335021972656</v>
      </c>
      <c r="AB81" s="49">
        <v>1.630332112312317</v>
      </c>
      <c r="AC81" s="49">
        <v>236.17368675260468</v>
      </c>
      <c r="AD81" s="49">
        <v>140.2110170668944</v>
      </c>
      <c r="AE81" s="49">
        <v>0</v>
      </c>
      <c r="AF81" s="49">
        <v>17.552366256713867</v>
      </c>
      <c r="AG81" s="49">
        <v>157.76338332360828</v>
      </c>
      <c r="AH81" s="49">
        <v>645.9970378439841</v>
      </c>
      <c r="AI81" s="69">
        <v>0.24421688348625215</v>
      </c>
      <c r="AJ81" s="49">
        <v>36.9900016784668</v>
      </c>
      <c r="AK81" s="49">
        <v>0</v>
      </c>
      <c r="AL81" s="49">
        <v>0</v>
      </c>
      <c r="AM81" s="49">
        <v>194.75338745117188</v>
      </c>
      <c r="AN81" s="49">
        <v>650.4874219230273</v>
      </c>
      <c r="AO81" s="69">
        <v>0.2993960976600647</v>
      </c>
    </row>
    <row r="82" spans="1:41" ht="12.75" customHeight="1">
      <c r="A82" t="s">
        <v>395</v>
      </c>
      <c r="B82" t="s">
        <v>395</v>
      </c>
      <c r="C82" s="49">
        <v>18</v>
      </c>
      <c r="D82" s="49">
        <v>457.7625868038931</v>
      </c>
      <c r="E82" s="49">
        <v>646</v>
      </c>
      <c r="F82" s="49">
        <v>0.3</v>
      </c>
      <c r="G82" s="49">
        <v>0.9390273094177246</v>
      </c>
      <c r="H82" s="49" t="s">
        <v>175</v>
      </c>
      <c r="I82" s="49">
        <v>0.17</v>
      </c>
      <c r="J82" s="49">
        <v>0</v>
      </c>
      <c r="K82" s="49">
        <v>492.66698404768994</v>
      </c>
      <c r="L82" s="60">
        <v>0</v>
      </c>
      <c r="M82" s="49">
        <v>0.3308266076065605</v>
      </c>
      <c r="N82" s="49"/>
      <c r="O82" s="49"/>
      <c r="P82" s="49">
        <v>645.9970378439841</v>
      </c>
      <c r="Q82" s="49">
        <v>0</v>
      </c>
      <c r="R82" s="49">
        <v>0</v>
      </c>
      <c r="S82" s="49">
        <v>3.551356792449951</v>
      </c>
      <c r="T82" s="49">
        <v>0</v>
      </c>
      <c r="U82" s="49">
        <v>0</v>
      </c>
      <c r="V82" s="49">
        <v>645.9970378439841</v>
      </c>
      <c r="W82" s="49">
        <v>4.490384079043211</v>
      </c>
      <c r="X82" s="49">
        <v>650.4874219230273</v>
      </c>
      <c r="Y82" s="49">
        <v>0</v>
      </c>
      <c r="Z82" s="49">
        <v>0</v>
      </c>
      <c r="AA82" s="49">
        <v>109.99000549316406</v>
      </c>
      <c r="AB82" s="49">
        <v>0.764550507068634</v>
      </c>
      <c r="AC82" s="49">
        <v>110.75455615935779</v>
      </c>
      <c r="AD82" s="49">
        <v>336.4486977757747</v>
      </c>
      <c r="AE82" s="49">
        <v>0</v>
      </c>
      <c r="AF82" s="49">
        <v>41.17496109008789</v>
      </c>
      <c r="AG82" s="49">
        <v>377.6236588658626</v>
      </c>
      <c r="AH82" s="49">
        <v>645.9970378439841</v>
      </c>
      <c r="AI82" s="69">
        <v>0.5845594278979699</v>
      </c>
      <c r="AJ82" s="49">
        <v>78.87771606445312</v>
      </c>
      <c r="AK82" s="49">
        <v>0</v>
      </c>
      <c r="AL82" s="49">
        <v>0</v>
      </c>
      <c r="AM82" s="49">
        <v>456.5013732910156</v>
      </c>
      <c r="AN82" s="49">
        <v>650.4874219230273</v>
      </c>
      <c r="AO82" s="69">
        <v>0.7017835378646851</v>
      </c>
    </row>
    <row r="83" spans="1:41" ht="12.75" customHeight="1">
      <c r="A83" t="s">
        <v>414</v>
      </c>
      <c r="B83" t="s">
        <v>396</v>
      </c>
      <c r="C83" s="49">
        <v>18</v>
      </c>
      <c r="D83" s="49">
        <v>2157.069304087445</v>
      </c>
      <c r="E83" s="49">
        <v>900.16</v>
      </c>
      <c r="F83" s="49">
        <v>0.794533569708932</v>
      </c>
      <c r="G83" s="49">
        <v>15.024137496948242</v>
      </c>
      <c r="H83" s="49" t="s">
        <v>176</v>
      </c>
      <c r="I83" s="49">
        <v>0.158</v>
      </c>
      <c r="J83" s="49">
        <v>0.35499998927116394</v>
      </c>
      <c r="K83" s="49">
        <v>2321.5458385241122</v>
      </c>
      <c r="L83" s="60">
        <v>0.595448780250112</v>
      </c>
      <c r="M83" s="49">
        <v>1.6773205584388997</v>
      </c>
      <c r="N83" s="49"/>
      <c r="O83" s="49"/>
      <c r="P83" s="49">
        <v>900.1567920770397</v>
      </c>
      <c r="Q83" s="49">
        <v>0</v>
      </c>
      <c r="R83" s="49">
        <v>0</v>
      </c>
      <c r="S83" s="49">
        <v>9.471877098083496</v>
      </c>
      <c r="T83" s="49">
        <v>0</v>
      </c>
      <c r="U83" s="49">
        <v>0</v>
      </c>
      <c r="V83" s="49">
        <v>900.1567920770397</v>
      </c>
      <c r="W83" s="49">
        <v>24.496014160582135</v>
      </c>
      <c r="X83" s="49">
        <v>924.6528062376218</v>
      </c>
      <c r="Y83" s="49">
        <v>0</v>
      </c>
      <c r="Z83" s="49">
        <v>0</v>
      </c>
      <c r="AA83" s="49">
        <v>32.52498245239258</v>
      </c>
      <c r="AB83" s="49">
        <v>0.8851040005683899</v>
      </c>
      <c r="AC83" s="49">
        <v>33.41008539964524</v>
      </c>
      <c r="AD83" s="49">
        <v>764.7427874624714</v>
      </c>
      <c r="AE83" s="49">
        <v>21.29558190433881</v>
      </c>
      <c r="AF83" s="49">
        <v>116.68550872802734</v>
      </c>
      <c r="AG83" s="49">
        <v>901.7582070387251</v>
      </c>
      <c r="AH83" s="49">
        <v>900.1567920770397</v>
      </c>
      <c r="AI83" s="48">
        <v>1.0017790400247832</v>
      </c>
      <c r="AJ83" s="49">
        <v>399.91705322265625</v>
      </c>
      <c r="AK83" s="49">
        <v>0</v>
      </c>
      <c r="AL83" s="49">
        <v>0</v>
      </c>
      <c r="AM83" s="49">
        <v>1301.67529296875</v>
      </c>
      <c r="AN83" s="49">
        <v>924.6528062376218</v>
      </c>
      <c r="AO83" s="48">
        <v>1.4077448844909668</v>
      </c>
    </row>
    <row r="84" spans="1:41" ht="12.75" customHeight="1">
      <c r="A84" t="s">
        <v>414</v>
      </c>
      <c r="B84" t="s">
        <v>397</v>
      </c>
      <c r="C84" s="49">
        <v>18</v>
      </c>
      <c r="D84" s="49">
        <v>207.56678710600988</v>
      </c>
      <c r="E84" s="49"/>
      <c r="F84" s="49">
        <v>0</v>
      </c>
      <c r="G84" s="49">
        <v>0</v>
      </c>
      <c r="H84" s="49" t="s">
        <v>173</v>
      </c>
      <c r="I84" s="49">
        <v>0.17</v>
      </c>
      <c r="J84" s="49">
        <v>0</v>
      </c>
      <c r="K84" s="49">
        <v>223.39375462284315</v>
      </c>
      <c r="L84" s="60">
        <v>0</v>
      </c>
      <c r="M84" s="49">
        <v>0.1500092362495589</v>
      </c>
      <c r="N84" s="49"/>
      <c r="O84" s="49"/>
      <c r="P84" s="49">
        <v>0</v>
      </c>
      <c r="Q84" s="49">
        <v>0</v>
      </c>
      <c r="R84" s="49">
        <v>0</v>
      </c>
      <c r="S84" s="49">
        <v>0</v>
      </c>
      <c r="T84" s="49">
        <v>0</v>
      </c>
      <c r="U84" s="49">
        <v>0</v>
      </c>
      <c r="V84" s="49">
        <v>0</v>
      </c>
      <c r="W84" s="49">
        <v>0</v>
      </c>
      <c r="X84" s="49">
        <v>0</v>
      </c>
      <c r="Y84" s="49">
        <v>0</v>
      </c>
      <c r="Z84" s="49">
        <v>0</v>
      </c>
      <c r="AA84" s="49">
        <v>0</v>
      </c>
      <c r="AB84" s="49">
        <v>0</v>
      </c>
      <c r="AC84" s="49">
        <v>0</v>
      </c>
      <c r="AD84" s="49">
        <v>129.5178848575894</v>
      </c>
      <c r="AE84" s="49">
        <v>0</v>
      </c>
      <c r="AF84" s="49">
        <v>16.366214752197266</v>
      </c>
      <c r="AG84" s="49">
        <v>145.88409960978666</v>
      </c>
      <c r="AH84" s="49">
        <v>0</v>
      </c>
      <c r="AI84" s="48">
        <v>9999</v>
      </c>
      <c r="AJ84" s="49">
        <v>35.76612091064453</v>
      </c>
      <c r="AK84" s="49">
        <v>0</v>
      </c>
      <c r="AL84" s="49">
        <v>0</v>
      </c>
      <c r="AM84" s="49">
        <v>181.6502227783203</v>
      </c>
      <c r="AN84" s="49">
        <v>0</v>
      </c>
      <c r="AO84" s="48">
        <v>9999</v>
      </c>
    </row>
    <row r="85" spans="1:41" ht="12.75" customHeight="1">
      <c r="A85" t="s">
        <v>415</v>
      </c>
      <c r="B85" t="s">
        <v>398</v>
      </c>
      <c r="C85" s="49">
        <v>18</v>
      </c>
      <c r="D85" s="49">
        <v>3338.9497116546027</v>
      </c>
      <c r="E85" s="49">
        <v>900.16</v>
      </c>
      <c r="F85" s="49">
        <v>0.794533569708932</v>
      </c>
      <c r="G85" s="49">
        <v>15.024137496948242</v>
      </c>
      <c r="H85" s="49" t="s">
        <v>177</v>
      </c>
      <c r="I85" s="49">
        <v>0.158</v>
      </c>
      <c r="J85" s="49">
        <v>0.35499998927116394</v>
      </c>
      <c r="K85" s="49">
        <v>3593.544627168266</v>
      </c>
      <c r="L85" s="60">
        <v>0.9217012774479676</v>
      </c>
      <c r="M85" s="49">
        <v>2.596341705080823</v>
      </c>
      <c r="N85" s="49"/>
      <c r="O85" s="49"/>
      <c r="P85" s="49">
        <v>900.1567920770397</v>
      </c>
      <c r="Q85" s="49">
        <v>0</v>
      </c>
      <c r="R85" s="49">
        <v>0</v>
      </c>
      <c r="S85" s="49">
        <v>9.471877098083496</v>
      </c>
      <c r="T85" s="49">
        <v>0</v>
      </c>
      <c r="U85" s="49">
        <v>0</v>
      </c>
      <c r="V85" s="49">
        <v>900.1567920770397</v>
      </c>
      <c r="W85" s="49">
        <v>24.496014160582135</v>
      </c>
      <c r="X85" s="49">
        <v>924.6528062376218</v>
      </c>
      <c r="Y85" s="49">
        <v>0</v>
      </c>
      <c r="Z85" s="49">
        <v>0</v>
      </c>
      <c r="AA85" s="49">
        <v>21.012187957763672</v>
      </c>
      <c r="AB85" s="49">
        <v>0.5718057751655579</v>
      </c>
      <c r="AC85" s="49">
        <v>21.583993736402196</v>
      </c>
      <c r="AD85" s="49">
        <v>1238.9523406267674</v>
      </c>
      <c r="AE85" s="49">
        <v>32.96364976511044</v>
      </c>
      <c r="AF85" s="49">
        <v>186.13861083984375</v>
      </c>
      <c r="AG85" s="49">
        <v>1456.5598290942432</v>
      </c>
      <c r="AH85" s="49">
        <v>900.1567920770397</v>
      </c>
      <c r="AI85" s="48">
        <v>1.6181179122509848</v>
      </c>
      <c r="AJ85" s="49">
        <v>619.0357666015625</v>
      </c>
      <c r="AK85" s="49">
        <v>0</v>
      </c>
      <c r="AL85" s="49">
        <v>0</v>
      </c>
      <c r="AM85" s="49">
        <v>2075.595703125</v>
      </c>
      <c r="AN85" s="49">
        <v>924.6528062376218</v>
      </c>
      <c r="AO85" s="48">
        <v>2.24472975730896</v>
      </c>
    </row>
    <row r="86" spans="1:41" ht="12.75" customHeight="1">
      <c r="A86" t="s">
        <v>415</v>
      </c>
      <c r="B86" t="s">
        <v>399</v>
      </c>
      <c r="C86" s="49">
        <v>18</v>
      </c>
      <c r="D86" s="49">
        <v>377.13610312754486</v>
      </c>
      <c r="E86" s="49"/>
      <c r="F86" s="49">
        <v>0</v>
      </c>
      <c r="G86" s="49">
        <v>0</v>
      </c>
      <c r="H86" s="49" t="s">
        <v>174</v>
      </c>
      <c r="I86" s="49">
        <v>0.17</v>
      </c>
      <c r="J86" s="49">
        <v>0</v>
      </c>
      <c r="K86" s="49">
        <v>405.89273099102013</v>
      </c>
      <c r="L86" s="60">
        <v>0</v>
      </c>
      <c r="M86" s="49">
        <v>0.27255756848712065</v>
      </c>
      <c r="N86" s="49"/>
      <c r="O86" s="49"/>
      <c r="P86" s="49">
        <v>0</v>
      </c>
      <c r="Q86" s="49">
        <v>0</v>
      </c>
      <c r="R86" s="49">
        <v>0</v>
      </c>
      <c r="S86" s="49">
        <v>0</v>
      </c>
      <c r="T86" s="49">
        <v>0</v>
      </c>
      <c r="U86" s="49">
        <v>0</v>
      </c>
      <c r="V86" s="49">
        <v>0</v>
      </c>
      <c r="W86" s="49">
        <v>0</v>
      </c>
      <c r="X86" s="49">
        <v>0</v>
      </c>
      <c r="Y86" s="49">
        <v>0</v>
      </c>
      <c r="Z86" s="49">
        <v>0</v>
      </c>
      <c r="AA86" s="49">
        <v>0</v>
      </c>
      <c r="AB86" s="49">
        <v>0</v>
      </c>
      <c r="AC86" s="49">
        <v>0</v>
      </c>
      <c r="AD86" s="49">
        <v>246.32577754605924</v>
      </c>
      <c r="AE86" s="49">
        <v>0</v>
      </c>
      <c r="AF86" s="49">
        <v>30.836381912231445</v>
      </c>
      <c r="AG86" s="49">
        <v>277.1621594582907</v>
      </c>
      <c r="AH86" s="49">
        <v>0</v>
      </c>
      <c r="AI86" s="48">
        <v>9999</v>
      </c>
      <c r="AJ86" s="49">
        <v>64.98484802246094</v>
      </c>
      <c r="AK86" s="49">
        <v>0</v>
      </c>
      <c r="AL86" s="49">
        <v>0</v>
      </c>
      <c r="AM86" s="49">
        <v>342.1470031738281</v>
      </c>
      <c r="AN86" s="49">
        <v>0</v>
      </c>
      <c r="AO86" s="48">
        <v>9999</v>
      </c>
    </row>
    <row r="87" spans="1:41" ht="12.75" customHeight="1">
      <c r="A87" t="s">
        <v>416</v>
      </c>
      <c r="B87" t="s">
        <v>400</v>
      </c>
      <c r="C87" s="49">
        <v>18</v>
      </c>
      <c r="D87" s="49">
        <v>4204.458262700341</v>
      </c>
      <c r="E87" s="49">
        <v>900.16</v>
      </c>
      <c r="F87" s="49">
        <v>0.794533569708932</v>
      </c>
      <c r="G87" s="49">
        <v>15.024137496948242</v>
      </c>
      <c r="H87" s="49" t="s">
        <v>178</v>
      </c>
      <c r="I87" s="49">
        <v>0.158</v>
      </c>
      <c r="J87" s="49">
        <v>0.35499998927116394</v>
      </c>
      <c r="K87" s="49">
        <v>4525.048205231242</v>
      </c>
      <c r="L87" s="60">
        <v>1.1606208198287602</v>
      </c>
      <c r="M87" s="49">
        <v>3.269354520859518</v>
      </c>
      <c r="N87" s="49"/>
      <c r="O87" s="49"/>
      <c r="P87" s="49">
        <v>900.1567920770397</v>
      </c>
      <c r="Q87" s="49">
        <v>0</v>
      </c>
      <c r="R87" s="49">
        <v>0</v>
      </c>
      <c r="S87" s="49">
        <v>9.471877098083496</v>
      </c>
      <c r="T87" s="49">
        <v>0</v>
      </c>
      <c r="U87" s="49">
        <v>0</v>
      </c>
      <c r="V87" s="49">
        <v>900.1567920770397</v>
      </c>
      <c r="W87" s="49">
        <v>24.496014160582135</v>
      </c>
      <c r="X87" s="49">
        <v>924.6528062376218</v>
      </c>
      <c r="Y87" s="49">
        <v>0</v>
      </c>
      <c r="Z87" s="49">
        <v>0</v>
      </c>
      <c r="AA87" s="49">
        <v>16.686725616455078</v>
      </c>
      <c r="AB87" s="49">
        <v>0.4540967345237732</v>
      </c>
      <c r="AC87" s="49">
        <v>17.14082175624424</v>
      </c>
      <c r="AD87" s="49">
        <v>1577.2219210862775</v>
      </c>
      <c r="AE87" s="49">
        <v>41.508348909813</v>
      </c>
      <c r="AF87" s="49">
        <v>236.10003662109375</v>
      </c>
      <c r="AG87" s="49">
        <v>1852.9480659106714</v>
      </c>
      <c r="AH87" s="49">
        <v>900.1567920770397</v>
      </c>
      <c r="AI87" s="48">
        <v>2.0584725708008516</v>
      </c>
      <c r="AJ87" s="49">
        <v>779.4995727539062</v>
      </c>
      <c r="AK87" s="49">
        <v>0</v>
      </c>
      <c r="AL87" s="49">
        <v>0</v>
      </c>
      <c r="AM87" s="49">
        <v>2632.44775390625</v>
      </c>
      <c r="AN87" s="49">
        <v>924.6528062376218</v>
      </c>
      <c r="AO87" s="48">
        <v>2.8469581604003906</v>
      </c>
    </row>
    <row r="88" spans="1:41" ht="12.75" customHeight="1">
      <c r="A88" t="s">
        <v>416</v>
      </c>
      <c r="B88" t="s">
        <v>401</v>
      </c>
      <c r="C88" s="49">
        <v>18</v>
      </c>
      <c r="D88" s="49">
        <v>603.8353620363548</v>
      </c>
      <c r="E88" s="49"/>
      <c r="F88" s="49">
        <v>0</v>
      </c>
      <c r="G88" s="49">
        <v>0</v>
      </c>
      <c r="H88" s="49" t="s">
        <v>175</v>
      </c>
      <c r="I88" s="49">
        <v>0.17</v>
      </c>
      <c r="J88" s="49">
        <v>0</v>
      </c>
      <c r="K88" s="49">
        <v>649.8778083916268</v>
      </c>
      <c r="L88" s="60">
        <v>0</v>
      </c>
      <c r="M88" s="49">
        <v>0.4363939084015759</v>
      </c>
      <c r="N88" s="49"/>
      <c r="O88" s="49"/>
      <c r="P88" s="49">
        <v>0</v>
      </c>
      <c r="Q88" s="49">
        <v>0</v>
      </c>
      <c r="R88" s="49">
        <v>0</v>
      </c>
      <c r="S88" s="49">
        <v>0</v>
      </c>
      <c r="T88" s="49">
        <v>0</v>
      </c>
      <c r="U88" s="49">
        <v>0</v>
      </c>
      <c r="V88" s="49">
        <v>0</v>
      </c>
      <c r="W88" s="49">
        <v>0</v>
      </c>
      <c r="X88" s="49">
        <v>0</v>
      </c>
      <c r="Y88" s="49">
        <v>0</v>
      </c>
      <c r="Z88" s="49">
        <v>0</v>
      </c>
      <c r="AA88" s="49">
        <v>0</v>
      </c>
      <c r="AB88" s="49">
        <v>0</v>
      </c>
      <c r="AC88" s="49">
        <v>0</v>
      </c>
      <c r="AD88" s="49">
        <v>443.8100165558724</v>
      </c>
      <c r="AE88" s="49">
        <v>0</v>
      </c>
      <c r="AF88" s="49">
        <v>54.31395721435547</v>
      </c>
      <c r="AG88" s="49">
        <v>498.12397377022785</v>
      </c>
      <c r="AH88" s="49">
        <v>0</v>
      </c>
      <c r="AI88" s="48">
        <v>9999</v>
      </c>
      <c r="AJ88" s="49">
        <v>104.0477066040039</v>
      </c>
      <c r="AK88" s="49">
        <v>0</v>
      </c>
      <c r="AL88" s="49">
        <v>0</v>
      </c>
      <c r="AM88" s="49">
        <v>602.1716918945312</v>
      </c>
      <c r="AN88" s="49">
        <v>0</v>
      </c>
      <c r="AO88" s="48">
        <v>9999</v>
      </c>
    </row>
    <row r="89" spans="1:41" ht="12.75" customHeight="1">
      <c r="A89" t="s">
        <v>417</v>
      </c>
      <c r="B89" t="s">
        <v>396</v>
      </c>
      <c r="C89" s="49">
        <v>18</v>
      </c>
      <c r="D89" s="49">
        <v>2157.069304087445</v>
      </c>
      <c r="E89" s="49">
        <v>900.16</v>
      </c>
      <c r="F89" s="49">
        <v>0.794533569708932</v>
      </c>
      <c r="G89" s="49">
        <v>15.024137496948242</v>
      </c>
      <c r="H89" s="49" t="s">
        <v>176</v>
      </c>
      <c r="I89" s="49">
        <v>0.158</v>
      </c>
      <c r="J89" s="49">
        <v>0.35499998927116394</v>
      </c>
      <c r="K89" s="49">
        <v>2321.5458385241122</v>
      </c>
      <c r="L89" s="60">
        <v>0.595448780250112</v>
      </c>
      <c r="M89" s="49">
        <v>1.6773205584388997</v>
      </c>
      <c r="N89" s="49"/>
      <c r="O89" s="49"/>
      <c r="P89" s="49">
        <v>900.1567920770397</v>
      </c>
      <c r="Q89" s="49">
        <v>0</v>
      </c>
      <c r="R89" s="49">
        <v>0</v>
      </c>
      <c r="S89" s="49">
        <v>9.471877098083496</v>
      </c>
      <c r="T89" s="49">
        <v>0</v>
      </c>
      <c r="U89" s="49">
        <v>0</v>
      </c>
      <c r="V89" s="49">
        <v>900.1567920770397</v>
      </c>
      <c r="W89" s="49">
        <v>24.496014160582135</v>
      </c>
      <c r="X89" s="49">
        <v>924.6528062376218</v>
      </c>
      <c r="Y89" s="49">
        <v>0</v>
      </c>
      <c r="Z89" s="49">
        <v>0</v>
      </c>
      <c r="AA89" s="49">
        <v>32.52498245239258</v>
      </c>
      <c r="AB89" s="49">
        <v>0.8851040005683899</v>
      </c>
      <c r="AC89" s="49">
        <v>33.41008539964524</v>
      </c>
      <c r="AD89" s="49">
        <v>764.7427874624714</v>
      </c>
      <c r="AE89" s="49">
        <v>21.29558190433881</v>
      </c>
      <c r="AF89" s="49">
        <v>116.68550872802734</v>
      </c>
      <c r="AG89" s="49">
        <v>901.7582070387251</v>
      </c>
      <c r="AH89" s="49">
        <v>900.1567920770397</v>
      </c>
      <c r="AI89" s="48">
        <v>1.0017790400247832</v>
      </c>
      <c r="AJ89" s="49">
        <v>399.91705322265625</v>
      </c>
      <c r="AK89" s="49">
        <v>0</v>
      </c>
      <c r="AL89" s="49">
        <v>0</v>
      </c>
      <c r="AM89" s="49">
        <v>1301.67529296875</v>
      </c>
      <c r="AN89" s="49">
        <v>924.6528062376218</v>
      </c>
      <c r="AO89" s="48">
        <v>1.4077448844909668</v>
      </c>
    </row>
    <row r="90" spans="1:41" ht="12.75" customHeight="1">
      <c r="A90" t="s">
        <v>417</v>
      </c>
      <c r="B90" t="s">
        <v>399</v>
      </c>
      <c r="C90" s="49">
        <v>18</v>
      </c>
      <c r="D90" s="49">
        <v>377.13610312754486</v>
      </c>
      <c r="E90" s="49">
        <v>0</v>
      </c>
      <c r="F90" s="49">
        <v>0</v>
      </c>
      <c r="G90" s="49">
        <v>0</v>
      </c>
      <c r="H90" s="49" t="s">
        <v>174</v>
      </c>
      <c r="I90" s="49">
        <v>0.17</v>
      </c>
      <c r="J90" s="49">
        <v>0</v>
      </c>
      <c r="K90" s="49">
        <v>405.89273099102013</v>
      </c>
      <c r="L90" s="60">
        <v>0</v>
      </c>
      <c r="M90" s="49">
        <v>0.27255756848712065</v>
      </c>
      <c r="N90" s="49"/>
      <c r="O90" s="49"/>
      <c r="P90" s="49">
        <v>0</v>
      </c>
      <c r="Q90" s="49">
        <v>0</v>
      </c>
      <c r="R90" s="49">
        <v>0</v>
      </c>
      <c r="S90" s="49">
        <v>0</v>
      </c>
      <c r="T90" s="49">
        <v>0</v>
      </c>
      <c r="U90" s="49">
        <v>0</v>
      </c>
      <c r="V90" s="49">
        <v>0</v>
      </c>
      <c r="W90" s="49">
        <v>0</v>
      </c>
      <c r="X90" s="49">
        <v>0</v>
      </c>
      <c r="Y90" s="49">
        <v>0</v>
      </c>
      <c r="Z90" s="49">
        <v>0</v>
      </c>
      <c r="AA90" s="49">
        <v>0</v>
      </c>
      <c r="AB90" s="49">
        <v>0</v>
      </c>
      <c r="AC90" s="49">
        <v>0</v>
      </c>
      <c r="AD90" s="49">
        <v>246.32577754605924</v>
      </c>
      <c r="AE90" s="49">
        <v>0</v>
      </c>
      <c r="AF90" s="49">
        <v>30.836381912231445</v>
      </c>
      <c r="AG90" s="49">
        <v>277.1621594582907</v>
      </c>
      <c r="AH90" s="49">
        <v>0</v>
      </c>
      <c r="AI90" s="48">
        <v>9999</v>
      </c>
      <c r="AJ90" s="49">
        <v>64.98484802246094</v>
      </c>
      <c r="AK90" s="49">
        <v>0</v>
      </c>
      <c r="AL90" s="49">
        <v>0</v>
      </c>
      <c r="AM90" s="49">
        <v>342.1470031738281</v>
      </c>
      <c r="AN90" s="49">
        <v>0</v>
      </c>
      <c r="AO90" s="48">
        <v>9999</v>
      </c>
    </row>
    <row r="91" spans="1:41" ht="12.75" customHeight="1">
      <c r="A91" t="s">
        <v>418</v>
      </c>
      <c r="B91" t="s">
        <v>396</v>
      </c>
      <c r="C91" s="49">
        <v>18</v>
      </c>
      <c r="D91" s="49">
        <v>2157.069304087445</v>
      </c>
      <c r="E91" s="49">
        <v>900.16</v>
      </c>
      <c r="F91" s="49">
        <v>0.794533569708932</v>
      </c>
      <c r="G91" s="49">
        <v>15.024137496948242</v>
      </c>
      <c r="H91" s="49" t="s">
        <v>176</v>
      </c>
      <c r="I91" s="49">
        <v>0.158</v>
      </c>
      <c r="J91" s="49">
        <v>0.35499998927116394</v>
      </c>
      <c r="K91" s="49">
        <v>2321.5458385241122</v>
      </c>
      <c r="L91" s="60">
        <v>0.595448780250112</v>
      </c>
      <c r="M91" s="49">
        <v>1.6773205584388997</v>
      </c>
      <c r="N91" s="49"/>
      <c r="O91" s="49"/>
      <c r="P91" s="49">
        <v>900.1567920770397</v>
      </c>
      <c r="Q91" s="49">
        <v>0</v>
      </c>
      <c r="R91" s="49">
        <v>0</v>
      </c>
      <c r="S91" s="49">
        <v>9.471877098083496</v>
      </c>
      <c r="T91" s="49">
        <v>0</v>
      </c>
      <c r="U91" s="49">
        <v>0</v>
      </c>
      <c r="V91" s="49">
        <v>900.1567920770397</v>
      </c>
      <c r="W91" s="49">
        <v>24.496014160582135</v>
      </c>
      <c r="X91" s="49">
        <v>924.6528062376218</v>
      </c>
      <c r="Y91" s="49">
        <v>0</v>
      </c>
      <c r="Z91" s="49">
        <v>0</v>
      </c>
      <c r="AA91" s="49">
        <v>32.52498245239258</v>
      </c>
      <c r="AB91" s="49">
        <v>0.8851040005683899</v>
      </c>
      <c r="AC91" s="49">
        <v>33.41008539964524</v>
      </c>
      <c r="AD91" s="49">
        <v>764.7427874624714</v>
      </c>
      <c r="AE91" s="49">
        <v>21.29558190433881</v>
      </c>
      <c r="AF91" s="49">
        <v>116.68550872802734</v>
      </c>
      <c r="AG91" s="49">
        <v>901.7582070387251</v>
      </c>
      <c r="AH91" s="49">
        <v>900.1567920770397</v>
      </c>
      <c r="AI91" s="48">
        <v>1.0017790400247832</v>
      </c>
      <c r="AJ91" s="49">
        <v>399.91705322265625</v>
      </c>
      <c r="AK91" s="49">
        <v>0</v>
      </c>
      <c r="AL91" s="49">
        <v>0</v>
      </c>
      <c r="AM91" s="49">
        <v>1301.67529296875</v>
      </c>
      <c r="AN91" s="49">
        <v>924.6528062376218</v>
      </c>
      <c r="AO91" s="48">
        <v>1.4077448844909668</v>
      </c>
    </row>
    <row r="92" spans="1:41" ht="12.75" customHeight="1">
      <c r="A92" t="s">
        <v>418</v>
      </c>
      <c r="B92" t="s">
        <v>401</v>
      </c>
      <c r="C92" s="49">
        <v>18</v>
      </c>
      <c r="D92" s="49">
        <v>603.8353620363548</v>
      </c>
      <c r="E92" s="49">
        <v>0</v>
      </c>
      <c r="F92" s="49">
        <v>0</v>
      </c>
      <c r="G92" s="49">
        <v>0</v>
      </c>
      <c r="H92" s="49" t="s">
        <v>175</v>
      </c>
      <c r="I92" s="49">
        <v>0.17</v>
      </c>
      <c r="J92" s="49">
        <v>0</v>
      </c>
      <c r="K92" s="49">
        <v>649.8778083916268</v>
      </c>
      <c r="L92" s="60">
        <v>0</v>
      </c>
      <c r="M92" s="49">
        <v>0.4363939084015759</v>
      </c>
      <c r="N92" s="49"/>
      <c r="O92" s="49"/>
      <c r="P92" s="49">
        <v>0</v>
      </c>
      <c r="Q92" s="49">
        <v>0</v>
      </c>
      <c r="R92" s="49">
        <v>0</v>
      </c>
      <c r="S92" s="49">
        <v>0</v>
      </c>
      <c r="T92" s="49">
        <v>0</v>
      </c>
      <c r="U92" s="49">
        <v>0</v>
      </c>
      <c r="V92" s="49">
        <v>0</v>
      </c>
      <c r="W92" s="49">
        <v>0</v>
      </c>
      <c r="X92" s="49">
        <v>0</v>
      </c>
      <c r="Y92" s="49">
        <v>0</v>
      </c>
      <c r="Z92" s="49">
        <v>0</v>
      </c>
      <c r="AA92" s="49">
        <v>0</v>
      </c>
      <c r="AB92" s="49">
        <v>0</v>
      </c>
      <c r="AC92" s="49">
        <v>0</v>
      </c>
      <c r="AD92" s="49">
        <v>443.8100165558724</v>
      </c>
      <c r="AE92" s="49">
        <v>0</v>
      </c>
      <c r="AF92" s="49">
        <v>54.31395721435547</v>
      </c>
      <c r="AG92" s="49">
        <v>498.12397377022785</v>
      </c>
      <c r="AH92" s="49">
        <v>0</v>
      </c>
      <c r="AI92" s="48">
        <v>9999</v>
      </c>
      <c r="AJ92" s="49">
        <v>104.0477066040039</v>
      </c>
      <c r="AK92" s="49">
        <v>0</v>
      </c>
      <c r="AL92" s="49">
        <v>0</v>
      </c>
      <c r="AM92" s="49">
        <v>602.1716918945312</v>
      </c>
      <c r="AN92" s="49">
        <v>0</v>
      </c>
      <c r="AO92" s="48">
        <v>9999</v>
      </c>
    </row>
    <row r="93" spans="1:41" ht="12.75" customHeight="1">
      <c r="A93" t="s">
        <v>419</v>
      </c>
      <c r="B93" t="s">
        <v>398</v>
      </c>
      <c r="C93" s="49">
        <v>18</v>
      </c>
      <c r="D93" s="49">
        <v>3338.9497116546027</v>
      </c>
      <c r="E93" s="49">
        <v>900.16</v>
      </c>
      <c r="F93" s="49">
        <v>0.794533569708932</v>
      </c>
      <c r="G93" s="49">
        <v>15.024137496948242</v>
      </c>
      <c r="H93" s="49" t="s">
        <v>177</v>
      </c>
      <c r="I93" s="49">
        <v>0.158</v>
      </c>
      <c r="J93" s="49">
        <v>0.35499998927116394</v>
      </c>
      <c r="K93" s="49">
        <v>3593.544627168266</v>
      </c>
      <c r="L93" s="60">
        <v>0.9217012774479676</v>
      </c>
      <c r="M93" s="49">
        <v>2.596341705080823</v>
      </c>
      <c r="N93" s="49"/>
      <c r="O93" s="49"/>
      <c r="P93" s="49">
        <v>900.1567920770397</v>
      </c>
      <c r="Q93" s="49">
        <v>0</v>
      </c>
      <c r="R93" s="49">
        <v>0</v>
      </c>
      <c r="S93" s="49">
        <v>9.471877098083496</v>
      </c>
      <c r="T93" s="49">
        <v>0</v>
      </c>
      <c r="U93" s="49">
        <v>0</v>
      </c>
      <c r="V93" s="49">
        <v>900.1567920770397</v>
      </c>
      <c r="W93" s="49">
        <v>24.496014160582135</v>
      </c>
      <c r="X93" s="49">
        <v>924.6528062376218</v>
      </c>
      <c r="Y93" s="49">
        <v>0</v>
      </c>
      <c r="Z93" s="49">
        <v>0</v>
      </c>
      <c r="AA93" s="49">
        <v>21.012187957763672</v>
      </c>
      <c r="AB93" s="49">
        <v>0.5718057751655579</v>
      </c>
      <c r="AC93" s="49">
        <v>21.583993736402196</v>
      </c>
      <c r="AD93" s="49">
        <v>1238.9523406267674</v>
      </c>
      <c r="AE93" s="49">
        <v>32.96364976511044</v>
      </c>
      <c r="AF93" s="49">
        <v>186.13861083984375</v>
      </c>
      <c r="AG93" s="49">
        <v>1456.5598290942432</v>
      </c>
      <c r="AH93" s="49">
        <v>900.1567920770397</v>
      </c>
      <c r="AI93" s="48">
        <v>1.6181179122509848</v>
      </c>
      <c r="AJ93" s="49">
        <v>619.0357666015625</v>
      </c>
      <c r="AK93" s="49">
        <v>0</v>
      </c>
      <c r="AL93" s="49">
        <v>0</v>
      </c>
      <c r="AM93" s="49">
        <v>2075.595703125</v>
      </c>
      <c r="AN93" s="49">
        <v>924.6528062376218</v>
      </c>
      <c r="AO93" s="48">
        <v>2.24472975730896</v>
      </c>
    </row>
    <row r="94" spans="1:41" ht="12.75" customHeight="1">
      <c r="A94" t="s">
        <v>419</v>
      </c>
      <c r="B94" t="s">
        <v>401</v>
      </c>
      <c r="C94" s="49">
        <v>18</v>
      </c>
      <c r="D94" s="49">
        <v>603.8353620363548</v>
      </c>
      <c r="E94" s="49">
        <v>0</v>
      </c>
      <c r="F94" s="49">
        <v>0</v>
      </c>
      <c r="G94" s="49">
        <v>0</v>
      </c>
      <c r="H94" s="49" t="s">
        <v>175</v>
      </c>
      <c r="I94" s="49">
        <v>0.17</v>
      </c>
      <c r="J94" s="49">
        <v>0</v>
      </c>
      <c r="K94" s="49">
        <v>649.8778083916268</v>
      </c>
      <c r="L94" s="60">
        <v>0</v>
      </c>
      <c r="M94" s="49">
        <v>0.4363939084015759</v>
      </c>
      <c r="N94" s="49"/>
      <c r="O94" s="49"/>
      <c r="P94" s="49">
        <v>0</v>
      </c>
      <c r="Q94" s="49">
        <v>0</v>
      </c>
      <c r="R94" s="49">
        <v>0</v>
      </c>
      <c r="S94" s="49">
        <v>0</v>
      </c>
      <c r="T94" s="49">
        <v>0</v>
      </c>
      <c r="U94" s="49">
        <v>0</v>
      </c>
      <c r="V94" s="49">
        <v>0</v>
      </c>
      <c r="W94" s="49">
        <v>0</v>
      </c>
      <c r="X94" s="49">
        <v>0</v>
      </c>
      <c r="Y94" s="49">
        <v>0</v>
      </c>
      <c r="Z94" s="49">
        <v>0</v>
      </c>
      <c r="AA94" s="49">
        <v>0</v>
      </c>
      <c r="AB94" s="49">
        <v>0</v>
      </c>
      <c r="AC94" s="49">
        <v>0</v>
      </c>
      <c r="AD94" s="49">
        <v>443.8100165558724</v>
      </c>
      <c r="AE94" s="49">
        <v>0</v>
      </c>
      <c r="AF94" s="49">
        <v>54.31395721435547</v>
      </c>
      <c r="AG94" s="49">
        <v>498.12397377022785</v>
      </c>
      <c r="AH94" s="49">
        <v>0</v>
      </c>
      <c r="AI94" s="48">
        <v>9999</v>
      </c>
      <c r="AJ94" s="49">
        <v>104.0477066040039</v>
      </c>
      <c r="AK94" s="49">
        <v>0</v>
      </c>
      <c r="AL94" s="49">
        <v>0</v>
      </c>
      <c r="AM94" s="49">
        <v>602.1716918945312</v>
      </c>
      <c r="AN94" s="49">
        <v>0</v>
      </c>
      <c r="AO94" s="48">
        <v>9999</v>
      </c>
    </row>
    <row r="95" spans="1:41" ht="12.75" customHeight="1">
      <c r="A95" t="s">
        <v>420</v>
      </c>
      <c r="B95" t="s">
        <v>398</v>
      </c>
      <c r="C95" s="49">
        <v>18</v>
      </c>
      <c r="D95" s="49">
        <v>3338.9497116546027</v>
      </c>
      <c r="E95" s="49">
        <v>900.16</v>
      </c>
      <c r="F95" s="49">
        <v>0.794533569708932</v>
      </c>
      <c r="G95" s="49">
        <v>15.024137496948242</v>
      </c>
      <c r="H95" s="49" t="s">
        <v>177</v>
      </c>
      <c r="I95" s="49">
        <v>0.158</v>
      </c>
      <c r="J95" s="49">
        <v>0.35499998927116394</v>
      </c>
      <c r="K95" s="49">
        <v>3593.544627168266</v>
      </c>
      <c r="L95" s="60">
        <v>0.9217012774479676</v>
      </c>
      <c r="M95" s="49">
        <v>2.596341705080823</v>
      </c>
      <c r="N95" s="49"/>
      <c r="O95" s="49"/>
      <c r="P95" s="49">
        <v>900.1567920770397</v>
      </c>
      <c r="Q95" s="49">
        <v>0</v>
      </c>
      <c r="R95" s="49">
        <v>0</v>
      </c>
      <c r="S95" s="49">
        <v>9.471877098083496</v>
      </c>
      <c r="T95" s="49">
        <v>0</v>
      </c>
      <c r="U95" s="49">
        <v>0</v>
      </c>
      <c r="V95" s="49">
        <v>900.1567920770397</v>
      </c>
      <c r="W95" s="49">
        <v>24.496014160582135</v>
      </c>
      <c r="X95" s="49">
        <v>924.6528062376218</v>
      </c>
      <c r="Y95" s="49">
        <v>0</v>
      </c>
      <c r="Z95" s="49">
        <v>0</v>
      </c>
      <c r="AA95" s="49">
        <v>21.012187957763672</v>
      </c>
      <c r="AB95" s="49">
        <v>0.5718057751655579</v>
      </c>
      <c r="AC95" s="49">
        <v>21.583993736402196</v>
      </c>
      <c r="AD95" s="49">
        <v>1238.9523406267674</v>
      </c>
      <c r="AE95" s="49">
        <v>32.96364976511044</v>
      </c>
      <c r="AF95" s="49">
        <v>186.13861083984375</v>
      </c>
      <c r="AG95" s="49">
        <v>1456.5598290942432</v>
      </c>
      <c r="AH95" s="49">
        <v>900.1567920770397</v>
      </c>
      <c r="AI95" s="48">
        <v>1.6181179122509848</v>
      </c>
      <c r="AJ95" s="49">
        <v>619.0357666015625</v>
      </c>
      <c r="AK95" s="49">
        <v>0</v>
      </c>
      <c r="AL95" s="49">
        <v>0</v>
      </c>
      <c r="AM95" s="49">
        <v>2075.595703125</v>
      </c>
      <c r="AN95" s="49">
        <v>924.6528062376218</v>
      </c>
      <c r="AO95" s="48">
        <v>2.24472975730896</v>
      </c>
    </row>
    <row r="96" spans="1:41" ht="12.75" customHeight="1">
      <c r="A96" t="s">
        <v>420</v>
      </c>
      <c r="B96" t="s">
        <v>397</v>
      </c>
      <c r="C96" s="49">
        <v>18</v>
      </c>
      <c r="D96" s="49">
        <v>207.56678710600988</v>
      </c>
      <c r="E96" s="49">
        <v>0</v>
      </c>
      <c r="F96" s="49">
        <v>0</v>
      </c>
      <c r="G96" s="49">
        <v>0</v>
      </c>
      <c r="H96" s="49" t="s">
        <v>173</v>
      </c>
      <c r="I96" s="49">
        <v>0.17</v>
      </c>
      <c r="J96" s="49">
        <v>0</v>
      </c>
      <c r="K96" s="49">
        <v>223.39375462284315</v>
      </c>
      <c r="L96" s="60">
        <v>0</v>
      </c>
      <c r="M96" s="49">
        <v>0.1500092362495589</v>
      </c>
      <c r="N96" s="49"/>
      <c r="O96" s="49"/>
      <c r="P96" s="49">
        <v>0</v>
      </c>
      <c r="Q96" s="49">
        <v>0</v>
      </c>
      <c r="R96" s="49">
        <v>0</v>
      </c>
      <c r="S96" s="49">
        <v>0</v>
      </c>
      <c r="T96" s="49">
        <v>0</v>
      </c>
      <c r="U96" s="49">
        <v>0</v>
      </c>
      <c r="V96" s="49">
        <v>0</v>
      </c>
      <c r="W96" s="49">
        <v>0</v>
      </c>
      <c r="X96" s="49">
        <v>0</v>
      </c>
      <c r="Y96" s="49">
        <v>0</v>
      </c>
      <c r="Z96" s="49">
        <v>0</v>
      </c>
      <c r="AA96" s="49">
        <v>0</v>
      </c>
      <c r="AB96" s="49">
        <v>0</v>
      </c>
      <c r="AC96" s="49">
        <v>0</v>
      </c>
      <c r="AD96" s="49">
        <v>129.5178848575894</v>
      </c>
      <c r="AE96" s="49">
        <v>0</v>
      </c>
      <c r="AF96" s="49">
        <v>16.366214752197266</v>
      </c>
      <c r="AG96" s="49">
        <v>145.88409960978666</v>
      </c>
      <c r="AH96" s="49">
        <v>0</v>
      </c>
      <c r="AI96" s="48">
        <v>9999</v>
      </c>
      <c r="AJ96" s="49">
        <v>35.76612091064453</v>
      </c>
      <c r="AK96" s="49">
        <v>0</v>
      </c>
      <c r="AL96" s="49">
        <v>0</v>
      </c>
      <c r="AM96" s="49">
        <v>181.6502227783203</v>
      </c>
      <c r="AN96" s="49">
        <v>0</v>
      </c>
      <c r="AO96" s="48">
        <v>9999</v>
      </c>
    </row>
    <row r="97" spans="1:41" ht="12.75" customHeight="1">
      <c r="A97" t="s">
        <v>421</v>
      </c>
      <c r="B97" t="s">
        <v>400</v>
      </c>
      <c r="C97" s="49">
        <v>18</v>
      </c>
      <c r="D97" s="49">
        <v>4204.458262700341</v>
      </c>
      <c r="E97" s="49">
        <v>900.16</v>
      </c>
      <c r="F97" s="49">
        <v>0.794533569708932</v>
      </c>
      <c r="G97" s="49">
        <v>15.024137496948242</v>
      </c>
      <c r="H97" s="49" t="s">
        <v>178</v>
      </c>
      <c r="I97" s="49">
        <v>0.158</v>
      </c>
      <c r="J97" s="49">
        <v>0.35499998927116394</v>
      </c>
      <c r="K97" s="49">
        <v>4525.048205231242</v>
      </c>
      <c r="L97" s="60">
        <v>1.1606208198287602</v>
      </c>
      <c r="M97" s="49">
        <v>3.269354520859518</v>
      </c>
      <c r="N97" s="49"/>
      <c r="O97" s="49"/>
      <c r="P97" s="49">
        <v>900.1567920770397</v>
      </c>
      <c r="Q97" s="49">
        <v>0</v>
      </c>
      <c r="R97" s="49">
        <v>0</v>
      </c>
      <c r="S97" s="49">
        <v>9.471877098083496</v>
      </c>
      <c r="T97" s="49">
        <v>0</v>
      </c>
      <c r="U97" s="49">
        <v>0</v>
      </c>
      <c r="V97" s="49">
        <v>900.1567920770397</v>
      </c>
      <c r="W97" s="49">
        <v>24.496014160582135</v>
      </c>
      <c r="X97" s="49">
        <v>924.6528062376218</v>
      </c>
      <c r="Y97" s="49">
        <v>0</v>
      </c>
      <c r="Z97" s="49">
        <v>0</v>
      </c>
      <c r="AA97" s="49">
        <v>16.686725616455078</v>
      </c>
      <c r="AB97" s="49">
        <v>0.4540967345237732</v>
      </c>
      <c r="AC97" s="49">
        <v>17.14082175624424</v>
      </c>
      <c r="AD97" s="49">
        <v>1577.2219210862775</v>
      </c>
      <c r="AE97" s="49">
        <v>41.508348909813</v>
      </c>
      <c r="AF97" s="49">
        <v>236.10003662109375</v>
      </c>
      <c r="AG97" s="49">
        <v>1852.9480659106714</v>
      </c>
      <c r="AH97" s="49">
        <v>900.1567920770397</v>
      </c>
      <c r="AI97" s="48">
        <v>2.0584725708008516</v>
      </c>
      <c r="AJ97" s="49">
        <v>779.4995727539062</v>
      </c>
      <c r="AK97" s="49">
        <v>0</v>
      </c>
      <c r="AL97" s="49">
        <v>0</v>
      </c>
      <c r="AM97" s="49">
        <v>2632.44775390625</v>
      </c>
      <c r="AN97" s="49">
        <v>924.6528062376218</v>
      </c>
      <c r="AO97" s="48">
        <v>2.8469581604003906</v>
      </c>
    </row>
    <row r="98" spans="1:41" ht="12.75" customHeight="1">
      <c r="A98" t="s">
        <v>421</v>
      </c>
      <c r="B98" t="s">
        <v>397</v>
      </c>
      <c r="C98" s="49">
        <v>18</v>
      </c>
      <c r="D98" s="49">
        <v>207.56678710600988</v>
      </c>
      <c r="E98" s="49">
        <v>0</v>
      </c>
      <c r="F98" s="49">
        <v>0</v>
      </c>
      <c r="G98" s="49">
        <v>0</v>
      </c>
      <c r="H98" s="49" t="s">
        <v>173</v>
      </c>
      <c r="I98" s="49">
        <v>0.17</v>
      </c>
      <c r="J98" s="49">
        <v>0</v>
      </c>
      <c r="K98" s="49">
        <v>223.39375462284315</v>
      </c>
      <c r="L98" s="60">
        <v>0</v>
      </c>
      <c r="M98" s="49">
        <v>0.1500092362495589</v>
      </c>
      <c r="N98" s="49"/>
      <c r="O98" s="49"/>
      <c r="P98" s="49">
        <v>0</v>
      </c>
      <c r="Q98" s="49">
        <v>0</v>
      </c>
      <c r="R98" s="49">
        <v>0</v>
      </c>
      <c r="S98" s="49">
        <v>0</v>
      </c>
      <c r="T98" s="49">
        <v>0</v>
      </c>
      <c r="U98" s="49">
        <v>0</v>
      </c>
      <c r="V98" s="49">
        <v>0</v>
      </c>
      <c r="W98" s="49">
        <v>0</v>
      </c>
      <c r="X98" s="49">
        <v>0</v>
      </c>
      <c r="Y98" s="49">
        <v>0</v>
      </c>
      <c r="Z98" s="49">
        <v>0</v>
      </c>
      <c r="AA98" s="49">
        <v>0</v>
      </c>
      <c r="AB98" s="49">
        <v>0</v>
      </c>
      <c r="AC98" s="49">
        <v>0</v>
      </c>
      <c r="AD98" s="49">
        <v>129.5178848575894</v>
      </c>
      <c r="AE98" s="49">
        <v>0</v>
      </c>
      <c r="AF98" s="49">
        <v>16.366214752197266</v>
      </c>
      <c r="AG98" s="49">
        <v>145.88409960978666</v>
      </c>
      <c r="AH98" s="49">
        <v>0</v>
      </c>
      <c r="AI98" s="48">
        <v>9999</v>
      </c>
      <c r="AJ98" s="49">
        <v>35.76612091064453</v>
      </c>
      <c r="AK98" s="49">
        <v>0</v>
      </c>
      <c r="AL98" s="49">
        <v>0</v>
      </c>
      <c r="AM98" s="49">
        <v>181.6502227783203</v>
      </c>
      <c r="AN98" s="49">
        <v>0</v>
      </c>
      <c r="AO98" s="48">
        <v>9999</v>
      </c>
    </row>
    <row r="99" spans="1:41" ht="12.75" customHeight="1">
      <c r="A99" t="s">
        <v>422</v>
      </c>
      <c r="B99" t="s">
        <v>400</v>
      </c>
      <c r="C99" s="49">
        <v>18</v>
      </c>
      <c r="D99" s="49">
        <v>4204.458262700341</v>
      </c>
      <c r="E99" s="49">
        <v>900.16</v>
      </c>
      <c r="F99" s="49">
        <v>0.794533569708932</v>
      </c>
      <c r="G99" s="49">
        <v>15.024137496948242</v>
      </c>
      <c r="H99" s="49" t="s">
        <v>178</v>
      </c>
      <c r="I99" s="49">
        <v>0.158</v>
      </c>
      <c r="J99" s="49">
        <v>0.35499998927116394</v>
      </c>
      <c r="K99" s="49">
        <v>4525.048205231242</v>
      </c>
      <c r="L99" s="60">
        <v>1.1606208198287602</v>
      </c>
      <c r="M99" s="49">
        <v>3.269354520859518</v>
      </c>
      <c r="N99" s="49"/>
      <c r="O99" s="49"/>
      <c r="P99" s="49">
        <v>900.1567920770397</v>
      </c>
      <c r="Q99" s="49">
        <v>0</v>
      </c>
      <c r="R99" s="49">
        <v>0</v>
      </c>
      <c r="S99" s="49">
        <v>9.471877098083496</v>
      </c>
      <c r="T99" s="49">
        <v>0</v>
      </c>
      <c r="U99" s="49">
        <v>0</v>
      </c>
      <c r="V99" s="49">
        <v>900.1567920770397</v>
      </c>
      <c r="W99" s="49">
        <v>24.496014160582135</v>
      </c>
      <c r="X99" s="49">
        <v>924.6528062376218</v>
      </c>
      <c r="Y99" s="49">
        <v>0</v>
      </c>
      <c r="Z99" s="49">
        <v>0</v>
      </c>
      <c r="AA99" s="49">
        <v>16.686725616455078</v>
      </c>
      <c r="AB99" s="49">
        <v>0.4540967345237732</v>
      </c>
      <c r="AC99" s="49">
        <v>17.14082175624424</v>
      </c>
      <c r="AD99" s="49">
        <v>1577.2219210862775</v>
      </c>
      <c r="AE99" s="49">
        <v>41.508348909813</v>
      </c>
      <c r="AF99" s="49">
        <v>236.10003662109375</v>
      </c>
      <c r="AG99" s="49">
        <v>1852.9480659106714</v>
      </c>
      <c r="AH99" s="49">
        <v>900.1567920770397</v>
      </c>
      <c r="AI99" s="48">
        <v>2.0584725708008516</v>
      </c>
      <c r="AJ99" s="49">
        <v>779.4995727539062</v>
      </c>
      <c r="AK99" s="49">
        <v>0</v>
      </c>
      <c r="AL99" s="49">
        <v>0</v>
      </c>
      <c r="AM99" s="49">
        <v>2632.44775390625</v>
      </c>
      <c r="AN99" s="49">
        <v>924.6528062376218</v>
      </c>
      <c r="AO99" s="48">
        <v>2.8469581604003906</v>
      </c>
    </row>
    <row r="100" spans="1:41" ht="12.75" customHeight="1">
      <c r="A100" t="s">
        <v>422</v>
      </c>
      <c r="B100" t="s">
        <v>399</v>
      </c>
      <c r="C100" s="49">
        <v>18</v>
      </c>
      <c r="D100" s="49">
        <v>377.13610312754486</v>
      </c>
      <c r="E100" s="49">
        <v>0</v>
      </c>
      <c r="F100" s="49">
        <v>0</v>
      </c>
      <c r="G100" s="49">
        <v>0</v>
      </c>
      <c r="H100" s="49" t="s">
        <v>174</v>
      </c>
      <c r="I100" s="49">
        <v>0.17</v>
      </c>
      <c r="J100" s="49">
        <v>0</v>
      </c>
      <c r="K100" s="49">
        <v>405.89273099102013</v>
      </c>
      <c r="L100" s="60">
        <v>0</v>
      </c>
      <c r="M100" s="49">
        <v>0.27255756848712065</v>
      </c>
      <c r="N100" s="49"/>
      <c r="O100" s="49"/>
      <c r="P100" s="49">
        <v>0</v>
      </c>
      <c r="Q100" s="49">
        <v>0</v>
      </c>
      <c r="R100" s="49">
        <v>0</v>
      </c>
      <c r="S100" s="49">
        <v>0</v>
      </c>
      <c r="T100" s="49">
        <v>0</v>
      </c>
      <c r="U100" s="49">
        <v>0</v>
      </c>
      <c r="V100" s="49">
        <v>0</v>
      </c>
      <c r="W100" s="49">
        <v>0</v>
      </c>
      <c r="X100" s="49">
        <v>0</v>
      </c>
      <c r="Y100" s="49">
        <v>0</v>
      </c>
      <c r="Z100" s="49">
        <v>0</v>
      </c>
      <c r="AA100" s="49">
        <v>0</v>
      </c>
      <c r="AB100" s="49">
        <v>0</v>
      </c>
      <c r="AC100" s="49">
        <v>0</v>
      </c>
      <c r="AD100" s="49">
        <v>246.32577754605924</v>
      </c>
      <c r="AE100" s="49">
        <v>0</v>
      </c>
      <c r="AF100" s="49">
        <v>30.836381912231445</v>
      </c>
      <c r="AG100" s="49">
        <v>277.1621594582907</v>
      </c>
      <c r="AH100" s="49">
        <v>0</v>
      </c>
      <c r="AI100" s="48">
        <v>9999</v>
      </c>
      <c r="AJ100" s="49">
        <v>64.98484802246094</v>
      </c>
      <c r="AK100" s="49">
        <v>0</v>
      </c>
      <c r="AL100" s="49">
        <v>0</v>
      </c>
      <c r="AM100" s="49">
        <v>342.1470031738281</v>
      </c>
      <c r="AN100" s="49">
        <v>0</v>
      </c>
      <c r="AO100" s="48">
        <v>9999</v>
      </c>
    </row>
    <row r="101" spans="1:41" ht="12.75" customHeight="1">
      <c r="A101" t="s">
        <v>423</v>
      </c>
      <c r="B101" t="s">
        <v>402</v>
      </c>
      <c r="C101" s="49">
        <v>18</v>
      </c>
      <c r="D101" s="49">
        <v>2746.8991899840194</v>
      </c>
      <c r="E101" s="49">
        <v>900.16</v>
      </c>
      <c r="F101" s="49">
        <v>0.794533569708932</v>
      </c>
      <c r="G101" s="49">
        <v>15.024137496948242</v>
      </c>
      <c r="H101" s="49" t="s">
        <v>176</v>
      </c>
      <c r="I101" s="49">
        <v>0.158</v>
      </c>
      <c r="J101" s="49">
        <v>0.35499998927116394</v>
      </c>
      <c r="K101" s="49">
        <v>2956.3502532203006</v>
      </c>
      <c r="L101" s="60">
        <v>0.7582685308472122</v>
      </c>
      <c r="M101" s="49">
        <v>2.1359677570807327</v>
      </c>
      <c r="N101" s="49"/>
      <c r="O101" s="49"/>
      <c r="P101" s="49">
        <v>900.1567920770397</v>
      </c>
      <c r="Q101" s="49">
        <v>0</v>
      </c>
      <c r="R101" s="49">
        <v>0</v>
      </c>
      <c r="S101" s="49">
        <v>9.471877098083496</v>
      </c>
      <c r="T101" s="49">
        <v>0</v>
      </c>
      <c r="U101" s="49">
        <v>0</v>
      </c>
      <c r="V101" s="49">
        <v>900.1567920770397</v>
      </c>
      <c r="W101" s="49">
        <v>24.496014160582135</v>
      </c>
      <c r="X101" s="49">
        <v>924.6528062376218</v>
      </c>
      <c r="Y101" s="49">
        <v>0</v>
      </c>
      <c r="Z101" s="49">
        <v>0</v>
      </c>
      <c r="AA101" s="49">
        <v>25.541030883789062</v>
      </c>
      <c r="AB101" s="49">
        <v>0.6950494647026062</v>
      </c>
      <c r="AC101" s="49">
        <v>26.236081005555263</v>
      </c>
      <c r="AD101" s="49">
        <v>973.8543585253434</v>
      </c>
      <c r="AE101" s="49">
        <v>27.1186542650348</v>
      </c>
      <c r="AF101" s="49">
        <v>148.59202575683594</v>
      </c>
      <c r="AG101" s="49">
        <v>1148.335314014581</v>
      </c>
      <c r="AH101" s="49">
        <v>900.1567920770397</v>
      </c>
      <c r="AI101" s="48">
        <v>1.2757058815996813</v>
      </c>
      <c r="AJ101" s="49">
        <v>509.27044677734375</v>
      </c>
      <c r="AK101" s="49">
        <v>0</v>
      </c>
      <c r="AL101" s="49">
        <v>0</v>
      </c>
      <c r="AM101" s="49">
        <v>1657.605712890625</v>
      </c>
      <c r="AN101" s="49">
        <v>924.6528062376218</v>
      </c>
      <c r="AO101" s="48">
        <v>1.7926790714263916</v>
      </c>
    </row>
    <row r="102" spans="1:41" ht="12.75" customHeight="1">
      <c r="A102" t="s">
        <v>423</v>
      </c>
      <c r="B102" t="s">
        <v>403</v>
      </c>
      <c r="C102" s="49">
        <v>18</v>
      </c>
      <c r="D102" s="49">
        <v>154.88450140152065</v>
      </c>
      <c r="E102" s="49"/>
      <c r="F102" s="49">
        <v>0</v>
      </c>
      <c r="G102" s="49">
        <v>0</v>
      </c>
      <c r="H102" s="49" t="s">
        <v>173</v>
      </c>
      <c r="I102" s="49">
        <v>0.17</v>
      </c>
      <c r="J102" s="49">
        <v>0</v>
      </c>
      <c r="K102" s="49">
        <v>166.69444463338658</v>
      </c>
      <c r="L102" s="60">
        <v>0</v>
      </c>
      <c r="M102" s="49">
        <v>0.1119355658295639</v>
      </c>
      <c r="N102" s="49"/>
      <c r="O102" s="49"/>
      <c r="P102" s="49">
        <v>0</v>
      </c>
      <c r="Q102" s="49">
        <v>0</v>
      </c>
      <c r="R102" s="49">
        <v>0</v>
      </c>
      <c r="S102" s="49">
        <v>0</v>
      </c>
      <c r="T102" s="49">
        <v>0</v>
      </c>
      <c r="U102" s="49">
        <v>0</v>
      </c>
      <c r="V102" s="49">
        <v>0</v>
      </c>
      <c r="W102" s="49">
        <v>0</v>
      </c>
      <c r="X102" s="49">
        <v>0</v>
      </c>
      <c r="Y102" s="49">
        <v>0</v>
      </c>
      <c r="Z102" s="49">
        <v>0</v>
      </c>
      <c r="AA102" s="49">
        <v>0</v>
      </c>
      <c r="AB102" s="49">
        <v>0</v>
      </c>
      <c r="AC102" s="49">
        <v>0</v>
      </c>
      <c r="AD102" s="49">
        <v>96.64510058876573</v>
      </c>
      <c r="AE102" s="49">
        <v>0</v>
      </c>
      <c r="AF102" s="49">
        <v>12.212325096130371</v>
      </c>
      <c r="AG102" s="49">
        <v>108.8574256848961</v>
      </c>
      <c r="AH102" s="49">
        <v>0</v>
      </c>
      <c r="AI102" s="48">
        <v>9999</v>
      </c>
      <c r="AJ102" s="49">
        <v>26.688364028930664</v>
      </c>
      <c r="AK102" s="49">
        <v>0</v>
      </c>
      <c r="AL102" s="49">
        <v>0</v>
      </c>
      <c r="AM102" s="49">
        <v>135.54579162597656</v>
      </c>
      <c r="AN102" s="49">
        <v>0</v>
      </c>
      <c r="AO102" s="48">
        <v>9999</v>
      </c>
    </row>
    <row r="103" spans="1:41" ht="12.75" customHeight="1">
      <c r="A103" t="s">
        <v>424</v>
      </c>
      <c r="B103" t="s">
        <v>404</v>
      </c>
      <c r="C103" s="49">
        <v>18</v>
      </c>
      <c r="D103" s="49">
        <v>4263.489178098839</v>
      </c>
      <c r="E103" s="49">
        <v>900.16</v>
      </c>
      <c r="F103" s="49">
        <v>0.794533569708932</v>
      </c>
      <c r="G103" s="49">
        <v>15.024137496948242</v>
      </c>
      <c r="H103" s="49" t="s">
        <v>177</v>
      </c>
      <c r="I103" s="49">
        <v>0.158</v>
      </c>
      <c r="J103" s="49">
        <v>0.35499998927116394</v>
      </c>
      <c r="K103" s="49">
        <v>4588.5802279288755</v>
      </c>
      <c r="L103" s="60">
        <v>1.1769160248573969</v>
      </c>
      <c r="M103" s="49">
        <v>3.3152565082429306</v>
      </c>
      <c r="N103" s="49"/>
      <c r="O103" s="49"/>
      <c r="P103" s="49">
        <v>900.1567920770397</v>
      </c>
      <c r="Q103" s="49">
        <v>0</v>
      </c>
      <c r="R103" s="49">
        <v>0</v>
      </c>
      <c r="S103" s="49">
        <v>9.471877098083496</v>
      </c>
      <c r="T103" s="49">
        <v>0</v>
      </c>
      <c r="U103" s="49">
        <v>0</v>
      </c>
      <c r="V103" s="49">
        <v>900.1567920770397</v>
      </c>
      <c r="W103" s="49">
        <v>24.496014160582135</v>
      </c>
      <c r="X103" s="49">
        <v>924.6528062376218</v>
      </c>
      <c r="Y103" s="49">
        <v>0</v>
      </c>
      <c r="Z103" s="49">
        <v>0</v>
      </c>
      <c r="AA103" s="49">
        <v>16.455686569213867</v>
      </c>
      <c r="AB103" s="49">
        <v>0.44780945777893066</v>
      </c>
      <c r="AC103" s="49">
        <v>16.903495388875626</v>
      </c>
      <c r="AD103" s="49">
        <v>1582.0124148634873</v>
      </c>
      <c r="AE103" s="49">
        <v>42.09112930141876</v>
      </c>
      <c r="AF103" s="49">
        <v>237.67950439453125</v>
      </c>
      <c r="AG103" s="49">
        <v>1859.874381049526</v>
      </c>
      <c r="AH103" s="49">
        <v>900.1567920770397</v>
      </c>
      <c r="AI103" s="48">
        <v>2.066167136014177</v>
      </c>
      <c r="AJ103" s="49">
        <v>790.4436645507812</v>
      </c>
      <c r="AK103" s="49">
        <v>0</v>
      </c>
      <c r="AL103" s="49">
        <v>0</v>
      </c>
      <c r="AM103" s="49">
        <v>2650.318115234375</v>
      </c>
      <c r="AN103" s="49">
        <v>924.6528062376218</v>
      </c>
      <c r="AO103" s="48">
        <v>2.8662846088409424</v>
      </c>
    </row>
    <row r="104" spans="1:41" ht="12.75" customHeight="1">
      <c r="A104" t="s">
        <v>424</v>
      </c>
      <c r="B104" t="s">
        <v>405</v>
      </c>
      <c r="C104" s="49">
        <v>18</v>
      </c>
      <c r="D104" s="49">
        <v>310.50556530046606</v>
      </c>
      <c r="E104" s="49"/>
      <c r="F104" s="49">
        <v>0</v>
      </c>
      <c r="G104" s="49">
        <v>0</v>
      </c>
      <c r="H104" s="49" t="s">
        <v>174</v>
      </c>
      <c r="I104" s="49">
        <v>0.17</v>
      </c>
      <c r="J104" s="49">
        <v>0</v>
      </c>
      <c r="K104" s="49">
        <v>334.18161465462657</v>
      </c>
      <c r="L104" s="60">
        <v>0</v>
      </c>
      <c r="M104" s="49">
        <v>0.22440344792816716</v>
      </c>
      <c r="N104" s="49"/>
      <c r="O104" s="49"/>
      <c r="P104" s="49">
        <v>0</v>
      </c>
      <c r="Q104" s="49">
        <v>0</v>
      </c>
      <c r="R104" s="49">
        <v>0</v>
      </c>
      <c r="S104" s="49">
        <v>0</v>
      </c>
      <c r="T104" s="49">
        <v>0</v>
      </c>
      <c r="U104" s="49">
        <v>0</v>
      </c>
      <c r="V104" s="49">
        <v>0</v>
      </c>
      <c r="W104" s="49">
        <v>0</v>
      </c>
      <c r="X104" s="49">
        <v>0</v>
      </c>
      <c r="Y104" s="49">
        <v>0</v>
      </c>
      <c r="Z104" s="49">
        <v>0</v>
      </c>
      <c r="AA104" s="49">
        <v>0</v>
      </c>
      <c r="AB104" s="49">
        <v>0</v>
      </c>
      <c r="AC104" s="49">
        <v>0</v>
      </c>
      <c r="AD104" s="49">
        <v>202.80615982063404</v>
      </c>
      <c r="AE104" s="49">
        <v>0</v>
      </c>
      <c r="AF104" s="49">
        <v>25.388362884521484</v>
      </c>
      <c r="AG104" s="49">
        <v>228.19452270515552</v>
      </c>
      <c r="AH104" s="49">
        <v>0</v>
      </c>
      <c r="AI104" s="48">
        <v>9999</v>
      </c>
      <c r="AJ104" s="49">
        <v>53.50364685058594</v>
      </c>
      <c r="AK104" s="49">
        <v>0</v>
      </c>
      <c r="AL104" s="49">
        <v>0</v>
      </c>
      <c r="AM104" s="49">
        <v>281.69818115234375</v>
      </c>
      <c r="AN104" s="49">
        <v>0</v>
      </c>
      <c r="AO104" s="48">
        <v>9999</v>
      </c>
    </row>
    <row r="105" spans="1:41" ht="12.75" customHeight="1">
      <c r="A105" t="s">
        <v>425</v>
      </c>
      <c r="B105" t="s">
        <v>406</v>
      </c>
      <c r="C105" s="49">
        <v>18</v>
      </c>
      <c r="D105" s="49">
        <v>5400.6454493453175</v>
      </c>
      <c r="E105" s="49">
        <v>900.16</v>
      </c>
      <c r="F105" s="49">
        <v>0.794533569708932</v>
      </c>
      <c r="G105" s="49">
        <v>15.024137496948242</v>
      </c>
      <c r="H105" s="49" t="s">
        <v>178</v>
      </c>
      <c r="I105" s="49">
        <v>0.158</v>
      </c>
      <c r="J105" s="49">
        <v>0.35499998927116394</v>
      </c>
      <c r="K105" s="49">
        <v>5812.444664857898</v>
      </c>
      <c r="L105" s="60">
        <v>1.4908226357318852</v>
      </c>
      <c r="M105" s="49">
        <v>4.199500509260951</v>
      </c>
      <c r="N105" s="49"/>
      <c r="O105" s="49"/>
      <c r="P105" s="49">
        <v>900.1567920770397</v>
      </c>
      <c r="Q105" s="49">
        <v>0</v>
      </c>
      <c r="R105" s="49">
        <v>0</v>
      </c>
      <c r="S105" s="49">
        <v>9.471877098083496</v>
      </c>
      <c r="T105" s="49">
        <v>0</v>
      </c>
      <c r="U105" s="49">
        <v>0</v>
      </c>
      <c r="V105" s="49">
        <v>900.1567920770397</v>
      </c>
      <c r="W105" s="49">
        <v>24.496014160582135</v>
      </c>
      <c r="X105" s="49">
        <v>924.6528062376218</v>
      </c>
      <c r="Y105" s="49">
        <v>0</v>
      </c>
      <c r="Z105" s="49">
        <v>0</v>
      </c>
      <c r="AA105" s="49">
        <v>12.990787506103516</v>
      </c>
      <c r="AB105" s="49">
        <v>0.3535189926624298</v>
      </c>
      <c r="AC105" s="49">
        <v>13.344306775637557</v>
      </c>
      <c r="AD105" s="49">
        <v>2025.9486141863983</v>
      </c>
      <c r="AE105" s="49">
        <v>53.31765988459199</v>
      </c>
      <c r="AF105" s="49">
        <v>303.27154541015625</v>
      </c>
      <c r="AG105" s="49">
        <v>2380.1200728724143</v>
      </c>
      <c r="AH105" s="49">
        <v>900.1567920770397</v>
      </c>
      <c r="AI105" s="48">
        <v>2.6441172180465116</v>
      </c>
      <c r="AJ105" s="49">
        <v>1001.2705688476562</v>
      </c>
      <c r="AK105" s="49">
        <v>0</v>
      </c>
      <c r="AL105" s="49">
        <v>0</v>
      </c>
      <c r="AM105" s="49">
        <v>3381.390625</v>
      </c>
      <c r="AN105" s="49">
        <v>924.6528062376218</v>
      </c>
      <c r="AO105" s="48">
        <v>3.6569299697875977</v>
      </c>
    </row>
    <row r="106" spans="1:41" ht="12.75" customHeight="1">
      <c r="A106" t="s">
        <v>425</v>
      </c>
      <c r="B106" t="s">
        <v>407</v>
      </c>
      <c r="C106" s="49">
        <v>18</v>
      </c>
      <c r="D106" s="49">
        <v>644.8773394162517</v>
      </c>
      <c r="E106" s="49"/>
      <c r="F106" s="49">
        <v>0</v>
      </c>
      <c r="G106" s="49">
        <v>0</v>
      </c>
      <c r="H106" s="49" t="s">
        <v>175</v>
      </c>
      <c r="I106" s="49">
        <v>0.17</v>
      </c>
      <c r="J106" s="49">
        <v>0</v>
      </c>
      <c r="K106" s="49">
        <v>694.0492365467409</v>
      </c>
      <c r="L106" s="60">
        <v>0</v>
      </c>
      <c r="M106" s="49">
        <v>0.46605508766232934</v>
      </c>
      <c r="N106" s="49"/>
      <c r="O106" s="49"/>
      <c r="P106" s="49">
        <v>0</v>
      </c>
      <c r="Q106" s="49">
        <v>0</v>
      </c>
      <c r="R106" s="49">
        <v>0</v>
      </c>
      <c r="S106" s="49">
        <v>0</v>
      </c>
      <c r="T106" s="49">
        <v>0</v>
      </c>
      <c r="U106" s="49">
        <v>0</v>
      </c>
      <c r="V106" s="49">
        <v>0</v>
      </c>
      <c r="W106" s="49">
        <v>0</v>
      </c>
      <c r="X106" s="49">
        <v>0</v>
      </c>
      <c r="Y106" s="49">
        <v>0</v>
      </c>
      <c r="Z106" s="49">
        <v>0</v>
      </c>
      <c r="AA106" s="49">
        <v>0</v>
      </c>
      <c r="AB106" s="49">
        <v>0</v>
      </c>
      <c r="AC106" s="49">
        <v>0</v>
      </c>
      <c r="AD106" s="49">
        <v>473.97525994114005</v>
      </c>
      <c r="AE106" s="49">
        <v>0</v>
      </c>
      <c r="AF106" s="49">
        <v>58.005611419677734</v>
      </c>
      <c r="AG106" s="49">
        <v>531.9808713608178</v>
      </c>
      <c r="AH106" s="49">
        <v>0</v>
      </c>
      <c r="AI106" s="48">
        <v>9999</v>
      </c>
      <c r="AJ106" s="49">
        <v>111.11970520019531</v>
      </c>
      <c r="AK106" s="49">
        <v>0</v>
      </c>
      <c r="AL106" s="49">
        <v>0</v>
      </c>
      <c r="AM106" s="49">
        <v>643.1005859375</v>
      </c>
      <c r="AN106" s="49">
        <v>0</v>
      </c>
      <c r="AO106" s="48">
        <v>9999</v>
      </c>
    </row>
    <row r="107" spans="1:41" ht="12.75" customHeight="1">
      <c r="A107" t="s">
        <v>426</v>
      </c>
      <c r="B107" t="s">
        <v>402</v>
      </c>
      <c r="C107" s="49">
        <v>18</v>
      </c>
      <c r="D107" s="49">
        <v>2746.8991899840194</v>
      </c>
      <c r="E107" s="49">
        <v>900.16</v>
      </c>
      <c r="F107" s="49">
        <v>0.794533569708932</v>
      </c>
      <c r="G107" s="49">
        <v>15.024137496948242</v>
      </c>
      <c r="H107" s="49" t="s">
        <v>176</v>
      </c>
      <c r="I107" s="49">
        <v>0.158</v>
      </c>
      <c r="J107" s="49">
        <v>0.35499998927116394</v>
      </c>
      <c r="K107" s="49">
        <v>2956.3502532203006</v>
      </c>
      <c r="L107" s="60">
        <v>0.7582685308472122</v>
      </c>
      <c r="M107" s="49">
        <v>2.1359677570807327</v>
      </c>
      <c r="N107" s="49"/>
      <c r="O107" s="49"/>
      <c r="P107" s="49">
        <v>900.1567920770397</v>
      </c>
      <c r="Q107" s="49">
        <v>0</v>
      </c>
      <c r="R107" s="49">
        <v>0</v>
      </c>
      <c r="S107" s="49">
        <v>9.471877098083496</v>
      </c>
      <c r="T107" s="49">
        <v>0</v>
      </c>
      <c r="U107" s="49">
        <v>0</v>
      </c>
      <c r="V107" s="49">
        <v>900.1567920770397</v>
      </c>
      <c r="W107" s="49">
        <v>24.496014160582135</v>
      </c>
      <c r="X107" s="49">
        <v>924.6528062376218</v>
      </c>
      <c r="Y107" s="49">
        <v>0</v>
      </c>
      <c r="Z107" s="49">
        <v>0</v>
      </c>
      <c r="AA107" s="49">
        <v>25.541030883789062</v>
      </c>
      <c r="AB107" s="49">
        <v>0.6950494647026062</v>
      </c>
      <c r="AC107" s="49">
        <v>26.236081005555263</v>
      </c>
      <c r="AD107" s="49">
        <v>973.8543585253434</v>
      </c>
      <c r="AE107" s="49">
        <v>27.1186542650348</v>
      </c>
      <c r="AF107" s="49">
        <v>148.59202575683594</v>
      </c>
      <c r="AG107" s="49">
        <v>1148.335314014581</v>
      </c>
      <c r="AH107" s="49">
        <v>900.1567920770397</v>
      </c>
      <c r="AI107" s="48">
        <v>1.2757058815996813</v>
      </c>
      <c r="AJ107" s="49">
        <v>509.27044677734375</v>
      </c>
      <c r="AK107" s="49">
        <v>0</v>
      </c>
      <c r="AL107" s="49">
        <v>0</v>
      </c>
      <c r="AM107" s="49">
        <v>1657.605712890625</v>
      </c>
      <c r="AN107" s="49">
        <v>924.6528062376218</v>
      </c>
      <c r="AO107" s="48">
        <v>1.7926790714263916</v>
      </c>
    </row>
    <row r="108" spans="1:41" ht="12.75" customHeight="1">
      <c r="A108" t="s">
        <v>426</v>
      </c>
      <c r="B108" t="s">
        <v>405</v>
      </c>
      <c r="C108" s="49">
        <v>18</v>
      </c>
      <c r="D108" s="49">
        <v>310.50556530046606</v>
      </c>
      <c r="E108" s="49">
        <v>0</v>
      </c>
      <c r="F108" s="49">
        <v>0</v>
      </c>
      <c r="G108" s="49">
        <v>0</v>
      </c>
      <c r="H108" s="49" t="s">
        <v>174</v>
      </c>
      <c r="I108" s="49">
        <v>0.17</v>
      </c>
      <c r="J108" s="49">
        <v>0</v>
      </c>
      <c r="K108" s="49">
        <v>334.18161465462657</v>
      </c>
      <c r="L108" s="60">
        <v>0</v>
      </c>
      <c r="M108" s="49">
        <v>0.22440344792816716</v>
      </c>
      <c r="N108" s="49"/>
      <c r="O108" s="49"/>
      <c r="P108" s="49">
        <v>0</v>
      </c>
      <c r="Q108" s="49">
        <v>0</v>
      </c>
      <c r="R108" s="49">
        <v>0</v>
      </c>
      <c r="S108" s="49">
        <v>0</v>
      </c>
      <c r="T108" s="49">
        <v>0</v>
      </c>
      <c r="U108" s="49">
        <v>0</v>
      </c>
      <c r="V108" s="49">
        <v>0</v>
      </c>
      <c r="W108" s="49">
        <v>0</v>
      </c>
      <c r="X108" s="49">
        <v>0</v>
      </c>
      <c r="Y108" s="49">
        <v>0</v>
      </c>
      <c r="Z108" s="49">
        <v>0</v>
      </c>
      <c r="AA108" s="49">
        <v>0</v>
      </c>
      <c r="AB108" s="49">
        <v>0</v>
      </c>
      <c r="AC108" s="49">
        <v>0</v>
      </c>
      <c r="AD108" s="49">
        <v>202.80615982063404</v>
      </c>
      <c r="AE108" s="49">
        <v>0</v>
      </c>
      <c r="AF108" s="49">
        <v>25.388362884521484</v>
      </c>
      <c r="AG108" s="49">
        <v>228.19452270515552</v>
      </c>
      <c r="AH108" s="49">
        <v>0</v>
      </c>
      <c r="AI108" s="48">
        <v>9999</v>
      </c>
      <c r="AJ108" s="49">
        <v>53.50364685058594</v>
      </c>
      <c r="AK108" s="49">
        <v>0</v>
      </c>
      <c r="AL108" s="49">
        <v>0</v>
      </c>
      <c r="AM108" s="49">
        <v>281.69818115234375</v>
      </c>
      <c r="AN108" s="49">
        <v>0</v>
      </c>
      <c r="AO108" s="48">
        <v>9999</v>
      </c>
    </row>
    <row r="109" spans="1:41" ht="12.75" customHeight="1">
      <c r="A109" t="s">
        <v>427</v>
      </c>
      <c r="B109" t="s">
        <v>402</v>
      </c>
      <c r="C109" s="49">
        <v>18</v>
      </c>
      <c r="D109" s="49">
        <v>2746.8991899840194</v>
      </c>
      <c r="E109" s="49">
        <v>900.16</v>
      </c>
      <c r="F109" s="49">
        <v>0.794533569708932</v>
      </c>
      <c r="G109" s="49">
        <v>15.024137496948242</v>
      </c>
      <c r="H109" s="49" t="s">
        <v>176</v>
      </c>
      <c r="I109" s="49">
        <v>0.158</v>
      </c>
      <c r="J109" s="49">
        <v>0.35499998927116394</v>
      </c>
      <c r="K109" s="49">
        <v>2956.3502532203006</v>
      </c>
      <c r="L109" s="60">
        <v>0.7582685308472122</v>
      </c>
      <c r="M109" s="49">
        <v>2.1359677570807327</v>
      </c>
      <c r="N109" s="49"/>
      <c r="O109" s="49"/>
      <c r="P109" s="49">
        <v>900.1567920770397</v>
      </c>
      <c r="Q109" s="49">
        <v>0</v>
      </c>
      <c r="R109" s="49">
        <v>0</v>
      </c>
      <c r="S109" s="49">
        <v>9.471877098083496</v>
      </c>
      <c r="T109" s="49">
        <v>0</v>
      </c>
      <c r="U109" s="49">
        <v>0</v>
      </c>
      <c r="V109" s="49">
        <v>900.1567920770397</v>
      </c>
      <c r="W109" s="49">
        <v>24.496014160582135</v>
      </c>
      <c r="X109" s="49">
        <v>924.6528062376218</v>
      </c>
      <c r="Y109" s="49">
        <v>0</v>
      </c>
      <c r="Z109" s="49">
        <v>0</v>
      </c>
      <c r="AA109" s="49">
        <v>25.541030883789062</v>
      </c>
      <c r="AB109" s="49">
        <v>0.6950494647026062</v>
      </c>
      <c r="AC109" s="49">
        <v>26.236081005555263</v>
      </c>
      <c r="AD109" s="49">
        <v>973.8543585253434</v>
      </c>
      <c r="AE109" s="49">
        <v>27.1186542650348</v>
      </c>
      <c r="AF109" s="49">
        <v>148.59202575683594</v>
      </c>
      <c r="AG109" s="49">
        <v>1148.335314014581</v>
      </c>
      <c r="AH109" s="49">
        <v>900.1567920770397</v>
      </c>
      <c r="AI109" s="48">
        <v>1.2757058815996813</v>
      </c>
      <c r="AJ109" s="49">
        <v>509.27044677734375</v>
      </c>
      <c r="AK109" s="49">
        <v>0</v>
      </c>
      <c r="AL109" s="49">
        <v>0</v>
      </c>
      <c r="AM109" s="49">
        <v>1657.605712890625</v>
      </c>
      <c r="AN109" s="49">
        <v>924.6528062376218</v>
      </c>
      <c r="AO109" s="48">
        <v>1.7926790714263916</v>
      </c>
    </row>
    <row r="110" spans="1:41" ht="12.75" customHeight="1">
      <c r="A110" t="s">
        <v>427</v>
      </c>
      <c r="B110" t="s">
        <v>407</v>
      </c>
      <c r="C110" s="49">
        <v>18</v>
      </c>
      <c r="D110" s="49">
        <v>644.8773394162517</v>
      </c>
      <c r="E110" s="49">
        <v>0</v>
      </c>
      <c r="F110" s="49">
        <v>0</v>
      </c>
      <c r="G110" s="49">
        <v>0</v>
      </c>
      <c r="H110" s="49" t="s">
        <v>175</v>
      </c>
      <c r="I110" s="49">
        <v>0.17</v>
      </c>
      <c r="J110" s="49">
        <v>0</v>
      </c>
      <c r="K110" s="49">
        <v>694.0492365467409</v>
      </c>
      <c r="L110" s="60">
        <v>0</v>
      </c>
      <c r="M110" s="49">
        <v>0.46605508766232934</v>
      </c>
      <c r="N110" s="49"/>
      <c r="O110" s="49"/>
      <c r="P110" s="49">
        <v>0</v>
      </c>
      <c r="Q110" s="49">
        <v>0</v>
      </c>
      <c r="R110" s="49">
        <v>0</v>
      </c>
      <c r="S110" s="49">
        <v>0</v>
      </c>
      <c r="T110" s="49">
        <v>0</v>
      </c>
      <c r="U110" s="49">
        <v>0</v>
      </c>
      <c r="V110" s="49">
        <v>0</v>
      </c>
      <c r="W110" s="49">
        <v>0</v>
      </c>
      <c r="X110" s="49">
        <v>0</v>
      </c>
      <c r="Y110" s="49">
        <v>0</v>
      </c>
      <c r="Z110" s="49">
        <v>0</v>
      </c>
      <c r="AA110" s="49">
        <v>0</v>
      </c>
      <c r="AB110" s="49">
        <v>0</v>
      </c>
      <c r="AC110" s="49">
        <v>0</v>
      </c>
      <c r="AD110" s="49">
        <v>473.97525994114005</v>
      </c>
      <c r="AE110" s="49">
        <v>0</v>
      </c>
      <c r="AF110" s="49">
        <v>58.005611419677734</v>
      </c>
      <c r="AG110" s="49">
        <v>531.9808713608178</v>
      </c>
      <c r="AH110" s="49">
        <v>0</v>
      </c>
      <c r="AI110" s="48">
        <v>9999</v>
      </c>
      <c r="AJ110" s="49">
        <v>111.11970520019531</v>
      </c>
      <c r="AK110" s="49">
        <v>0</v>
      </c>
      <c r="AL110" s="49">
        <v>0</v>
      </c>
      <c r="AM110" s="49">
        <v>643.1005859375</v>
      </c>
      <c r="AN110" s="49">
        <v>0</v>
      </c>
      <c r="AO110" s="48">
        <v>9999</v>
      </c>
    </row>
    <row r="111" spans="1:41" ht="12.75" customHeight="1">
      <c r="A111" t="s">
        <v>428</v>
      </c>
      <c r="B111" t="s">
        <v>404</v>
      </c>
      <c r="C111" s="49">
        <v>18</v>
      </c>
      <c r="D111" s="49">
        <v>4263.489178098839</v>
      </c>
      <c r="E111" s="49">
        <v>900.16</v>
      </c>
      <c r="F111" s="49">
        <v>0.794533569708932</v>
      </c>
      <c r="G111" s="49">
        <v>15.024137496948242</v>
      </c>
      <c r="H111" s="49" t="s">
        <v>177</v>
      </c>
      <c r="I111" s="49">
        <v>0.158</v>
      </c>
      <c r="J111" s="49">
        <v>0.35499998927116394</v>
      </c>
      <c r="K111" s="49">
        <v>4588.5802279288755</v>
      </c>
      <c r="L111" s="60">
        <v>1.1769160248573969</v>
      </c>
      <c r="M111" s="49">
        <v>3.3152565082429306</v>
      </c>
      <c r="N111" s="49"/>
      <c r="O111" s="49"/>
      <c r="P111" s="49">
        <v>900.1567920770397</v>
      </c>
      <c r="Q111" s="49">
        <v>0</v>
      </c>
      <c r="R111" s="49">
        <v>0</v>
      </c>
      <c r="S111" s="49">
        <v>9.471877098083496</v>
      </c>
      <c r="T111" s="49">
        <v>0</v>
      </c>
      <c r="U111" s="49">
        <v>0</v>
      </c>
      <c r="V111" s="49">
        <v>900.1567920770397</v>
      </c>
      <c r="W111" s="49">
        <v>24.496014160582135</v>
      </c>
      <c r="X111" s="49">
        <v>924.6528062376218</v>
      </c>
      <c r="Y111" s="49">
        <v>0</v>
      </c>
      <c r="Z111" s="49">
        <v>0</v>
      </c>
      <c r="AA111" s="49">
        <v>16.455686569213867</v>
      </c>
      <c r="AB111" s="49">
        <v>0.44780945777893066</v>
      </c>
      <c r="AC111" s="49">
        <v>16.903495388875626</v>
      </c>
      <c r="AD111" s="49">
        <v>1582.0124148634873</v>
      </c>
      <c r="AE111" s="49">
        <v>42.09112930141876</v>
      </c>
      <c r="AF111" s="49">
        <v>237.67950439453125</v>
      </c>
      <c r="AG111" s="49">
        <v>1859.874381049526</v>
      </c>
      <c r="AH111" s="49">
        <v>900.1567920770397</v>
      </c>
      <c r="AI111" s="48">
        <v>2.066167136014177</v>
      </c>
      <c r="AJ111" s="49">
        <v>790.4436645507812</v>
      </c>
      <c r="AK111" s="49">
        <v>0</v>
      </c>
      <c r="AL111" s="49">
        <v>0</v>
      </c>
      <c r="AM111" s="49">
        <v>2650.318115234375</v>
      </c>
      <c r="AN111" s="49">
        <v>924.6528062376218</v>
      </c>
      <c r="AO111" s="48">
        <v>2.8662846088409424</v>
      </c>
    </row>
    <row r="112" spans="1:41" ht="12.75" customHeight="1">
      <c r="A112" t="s">
        <v>428</v>
      </c>
      <c r="B112" t="s">
        <v>407</v>
      </c>
      <c r="C112" s="49">
        <v>18</v>
      </c>
      <c r="D112" s="49">
        <v>644.8773394162517</v>
      </c>
      <c r="E112" s="49">
        <v>0</v>
      </c>
      <c r="F112" s="49">
        <v>0</v>
      </c>
      <c r="G112" s="49">
        <v>0</v>
      </c>
      <c r="H112" s="49" t="s">
        <v>175</v>
      </c>
      <c r="I112" s="49">
        <v>0.17</v>
      </c>
      <c r="J112" s="49">
        <v>0</v>
      </c>
      <c r="K112" s="49">
        <v>694.0492365467409</v>
      </c>
      <c r="L112" s="60">
        <v>0</v>
      </c>
      <c r="M112" s="49">
        <v>0.46605508766232934</v>
      </c>
      <c r="N112" s="49"/>
      <c r="O112" s="49"/>
      <c r="P112" s="49">
        <v>0</v>
      </c>
      <c r="Q112" s="49">
        <v>0</v>
      </c>
      <c r="R112" s="49">
        <v>0</v>
      </c>
      <c r="S112" s="49">
        <v>0</v>
      </c>
      <c r="T112" s="49">
        <v>0</v>
      </c>
      <c r="U112" s="49">
        <v>0</v>
      </c>
      <c r="V112" s="49">
        <v>0</v>
      </c>
      <c r="W112" s="49">
        <v>0</v>
      </c>
      <c r="X112" s="49">
        <v>0</v>
      </c>
      <c r="Y112" s="49">
        <v>0</v>
      </c>
      <c r="Z112" s="49">
        <v>0</v>
      </c>
      <c r="AA112" s="49">
        <v>0</v>
      </c>
      <c r="AB112" s="49">
        <v>0</v>
      </c>
      <c r="AC112" s="49">
        <v>0</v>
      </c>
      <c r="AD112" s="49">
        <v>473.97525994114005</v>
      </c>
      <c r="AE112" s="49">
        <v>0</v>
      </c>
      <c r="AF112" s="49">
        <v>58.005611419677734</v>
      </c>
      <c r="AG112" s="49">
        <v>531.9808713608178</v>
      </c>
      <c r="AH112" s="49">
        <v>0</v>
      </c>
      <c r="AI112" s="48">
        <v>9999</v>
      </c>
      <c r="AJ112" s="49">
        <v>111.11970520019531</v>
      </c>
      <c r="AK112" s="49">
        <v>0</v>
      </c>
      <c r="AL112" s="49">
        <v>0</v>
      </c>
      <c r="AM112" s="49">
        <v>643.1005859375</v>
      </c>
      <c r="AN112" s="49">
        <v>0</v>
      </c>
      <c r="AO112" s="48">
        <v>9999</v>
      </c>
    </row>
    <row r="113" spans="1:41" ht="12.75" customHeight="1">
      <c r="A113" t="s">
        <v>429</v>
      </c>
      <c r="B113" t="s">
        <v>404</v>
      </c>
      <c r="C113" s="49">
        <v>18</v>
      </c>
      <c r="D113" s="49">
        <v>4263.489178098839</v>
      </c>
      <c r="E113" s="49">
        <v>900.16</v>
      </c>
      <c r="F113" s="49">
        <v>0.794533569708932</v>
      </c>
      <c r="G113" s="49">
        <v>15.024137496948242</v>
      </c>
      <c r="H113" s="49" t="s">
        <v>177</v>
      </c>
      <c r="I113" s="49">
        <v>0.158</v>
      </c>
      <c r="J113" s="49">
        <v>0.35499998927116394</v>
      </c>
      <c r="K113" s="49">
        <v>4588.5802279288755</v>
      </c>
      <c r="L113" s="60">
        <v>1.1769160248573969</v>
      </c>
      <c r="M113" s="49">
        <v>3.3152565082429306</v>
      </c>
      <c r="N113" s="49"/>
      <c r="O113" s="49"/>
      <c r="P113" s="49">
        <v>900.1567920770397</v>
      </c>
      <c r="Q113" s="49">
        <v>0</v>
      </c>
      <c r="R113" s="49">
        <v>0</v>
      </c>
      <c r="S113" s="49">
        <v>9.471877098083496</v>
      </c>
      <c r="T113" s="49">
        <v>0</v>
      </c>
      <c r="U113" s="49">
        <v>0</v>
      </c>
      <c r="V113" s="49">
        <v>900.1567920770397</v>
      </c>
      <c r="W113" s="49">
        <v>24.496014160582135</v>
      </c>
      <c r="X113" s="49">
        <v>924.6528062376218</v>
      </c>
      <c r="Y113" s="49">
        <v>0</v>
      </c>
      <c r="Z113" s="49">
        <v>0</v>
      </c>
      <c r="AA113" s="49">
        <v>16.455686569213867</v>
      </c>
      <c r="AB113" s="49">
        <v>0.44780945777893066</v>
      </c>
      <c r="AC113" s="49">
        <v>16.903495388875626</v>
      </c>
      <c r="AD113" s="49">
        <v>1582.0124148634873</v>
      </c>
      <c r="AE113" s="49">
        <v>42.09112930141876</v>
      </c>
      <c r="AF113" s="49">
        <v>237.67950439453125</v>
      </c>
      <c r="AG113" s="49">
        <v>1859.874381049526</v>
      </c>
      <c r="AH113" s="49">
        <v>900.1567920770397</v>
      </c>
      <c r="AI113" s="48">
        <v>2.066167136014177</v>
      </c>
      <c r="AJ113" s="49">
        <v>790.4436645507812</v>
      </c>
      <c r="AK113" s="49">
        <v>0</v>
      </c>
      <c r="AL113" s="49">
        <v>0</v>
      </c>
      <c r="AM113" s="49">
        <v>2650.318115234375</v>
      </c>
      <c r="AN113" s="49">
        <v>924.6528062376218</v>
      </c>
      <c r="AO113" s="48">
        <v>2.8662846088409424</v>
      </c>
    </row>
    <row r="114" spans="1:41" ht="12.75" customHeight="1">
      <c r="A114" t="s">
        <v>429</v>
      </c>
      <c r="B114" t="s">
        <v>403</v>
      </c>
      <c r="C114" s="49">
        <v>18</v>
      </c>
      <c r="D114" s="49">
        <v>154.88450140152065</v>
      </c>
      <c r="E114" s="49">
        <v>0</v>
      </c>
      <c r="F114" s="49">
        <v>0</v>
      </c>
      <c r="G114" s="49">
        <v>0</v>
      </c>
      <c r="H114" s="49" t="s">
        <v>173</v>
      </c>
      <c r="I114" s="49">
        <v>0.17</v>
      </c>
      <c r="J114" s="49">
        <v>0</v>
      </c>
      <c r="K114" s="49">
        <v>166.69444463338658</v>
      </c>
      <c r="L114" s="60">
        <v>0</v>
      </c>
      <c r="M114" s="49">
        <v>0.1119355658295639</v>
      </c>
      <c r="N114" s="49"/>
      <c r="O114" s="49"/>
      <c r="P114" s="49">
        <v>0</v>
      </c>
      <c r="Q114" s="49">
        <v>0</v>
      </c>
      <c r="R114" s="49">
        <v>0</v>
      </c>
      <c r="S114" s="49">
        <v>0</v>
      </c>
      <c r="T114" s="49">
        <v>0</v>
      </c>
      <c r="U114" s="49">
        <v>0</v>
      </c>
      <c r="V114" s="49">
        <v>0</v>
      </c>
      <c r="W114" s="49">
        <v>0</v>
      </c>
      <c r="X114" s="49">
        <v>0</v>
      </c>
      <c r="Y114" s="49">
        <v>0</v>
      </c>
      <c r="Z114" s="49">
        <v>0</v>
      </c>
      <c r="AA114" s="49">
        <v>0</v>
      </c>
      <c r="AB114" s="49">
        <v>0</v>
      </c>
      <c r="AC114" s="49">
        <v>0</v>
      </c>
      <c r="AD114" s="49">
        <v>96.64510058876573</v>
      </c>
      <c r="AE114" s="49">
        <v>0</v>
      </c>
      <c r="AF114" s="49">
        <v>12.212325096130371</v>
      </c>
      <c r="AG114" s="49">
        <v>108.8574256848961</v>
      </c>
      <c r="AH114" s="49">
        <v>0</v>
      </c>
      <c r="AI114" s="48">
        <v>9999</v>
      </c>
      <c r="AJ114" s="49">
        <v>26.688364028930664</v>
      </c>
      <c r="AK114" s="49">
        <v>0</v>
      </c>
      <c r="AL114" s="49">
        <v>0</v>
      </c>
      <c r="AM114" s="49">
        <v>135.54579162597656</v>
      </c>
      <c r="AN114" s="49">
        <v>0</v>
      </c>
      <c r="AO114" s="48">
        <v>9999</v>
      </c>
    </row>
    <row r="115" spans="1:41" ht="12.75" customHeight="1">
      <c r="A115" t="s">
        <v>430</v>
      </c>
      <c r="B115" t="s">
        <v>406</v>
      </c>
      <c r="C115" s="49">
        <v>18</v>
      </c>
      <c r="D115" s="49">
        <v>5400.6454493453175</v>
      </c>
      <c r="E115" s="49">
        <v>900.16</v>
      </c>
      <c r="F115" s="49">
        <v>0.794533569708932</v>
      </c>
      <c r="G115" s="49">
        <v>15.024137496948242</v>
      </c>
      <c r="H115" s="49" t="s">
        <v>178</v>
      </c>
      <c r="I115" s="49">
        <v>0.158</v>
      </c>
      <c r="J115" s="49">
        <v>0.35499998927116394</v>
      </c>
      <c r="K115" s="49">
        <v>5812.444664857898</v>
      </c>
      <c r="L115" s="60">
        <v>1.4908226357318852</v>
      </c>
      <c r="M115" s="49">
        <v>4.199500509260951</v>
      </c>
      <c r="N115" s="49"/>
      <c r="O115" s="49"/>
      <c r="P115" s="49">
        <v>900.1567920770397</v>
      </c>
      <c r="Q115" s="49">
        <v>0</v>
      </c>
      <c r="R115" s="49">
        <v>0</v>
      </c>
      <c r="S115" s="49">
        <v>9.471877098083496</v>
      </c>
      <c r="T115" s="49">
        <v>0</v>
      </c>
      <c r="U115" s="49">
        <v>0</v>
      </c>
      <c r="V115" s="49">
        <v>900.1567920770397</v>
      </c>
      <c r="W115" s="49">
        <v>24.496014160582135</v>
      </c>
      <c r="X115" s="49">
        <v>924.6528062376218</v>
      </c>
      <c r="Y115" s="49">
        <v>0</v>
      </c>
      <c r="Z115" s="49">
        <v>0</v>
      </c>
      <c r="AA115" s="49">
        <v>12.990787506103516</v>
      </c>
      <c r="AB115" s="49">
        <v>0.3535189926624298</v>
      </c>
      <c r="AC115" s="49">
        <v>13.344306775637557</v>
      </c>
      <c r="AD115" s="49">
        <v>2025.9486141863983</v>
      </c>
      <c r="AE115" s="49">
        <v>53.31765988459199</v>
      </c>
      <c r="AF115" s="49">
        <v>303.27154541015625</v>
      </c>
      <c r="AG115" s="49">
        <v>2380.1200728724143</v>
      </c>
      <c r="AH115" s="49">
        <v>900.1567920770397</v>
      </c>
      <c r="AI115" s="48">
        <v>2.6441172180465116</v>
      </c>
      <c r="AJ115" s="49">
        <v>1001.2705688476562</v>
      </c>
      <c r="AK115" s="49">
        <v>0</v>
      </c>
      <c r="AL115" s="49">
        <v>0</v>
      </c>
      <c r="AM115" s="49">
        <v>3381.390625</v>
      </c>
      <c r="AN115" s="49">
        <v>924.6528062376218</v>
      </c>
      <c r="AO115" s="48">
        <v>3.6569299697875977</v>
      </c>
    </row>
    <row r="116" spans="1:41" ht="12.75" customHeight="1">
      <c r="A116" t="s">
        <v>430</v>
      </c>
      <c r="B116" t="s">
        <v>403</v>
      </c>
      <c r="C116" s="49">
        <v>18</v>
      </c>
      <c r="D116" s="49">
        <v>154.88450140152065</v>
      </c>
      <c r="E116" s="49">
        <v>0</v>
      </c>
      <c r="F116" s="49">
        <v>0</v>
      </c>
      <c r="G116" s="49">
        <v>0</v>
      </c>
      <c r="H116" s="49" t="s">
        <v>173</v>
      </c>
      <c r="I116" s="49">
        <v>0.17</v>
      </c>
      <c r="J116" s="49">
        <v>0</v>
      </c>
      <c r="K116" s="49">
        <v>166.69444463338658</v>
      </c>
      <c r="L116" s="60">
        <v>0</v>
      </c>
      <c r="M116" s="49">
        <v>0.1119355658295639</v>
      </c>
      <c r="N116" s="49"/>
      <c r="O116" s="49"/>
      <c r="P116" s="49">
        <v>0</v>
      </c>
      <c r="Q116" s="49">
        <v>0</v>
      </c>
      <c r="R116" s="49">
        <v>0</v>
      </c>
      <c r="S116" s="49">
        <v>0</v>
      </c>
      <c r="T116" s="49">
        <v>0</v>
      </c>
      <c r="U116" s="49">
        <v>0</v>
      </c>
      <c r="V116" s="49">
        <v>0</v>
      </c>
      <c r="W116" s="49">
        <v>0</v>
      </c>
      <c r="X116" s="49">
        <v>0</v>
      </c>
      <c r="Y116" s="49">
        <v>0</v>
      </c>
      <c r="Z116" s="49">
        <v>0</v>
      </c>
      <c r="AA116" s="49">
        <v>0</v>
      </c>
      <c r="AB116" s="49">
        <v>0</v>
      </c>
      <c r="AC116" s="49">
        <v>0</v>
      </c>
      <c r="AD116" s="49">
        <v>96.64510058876573</v>
      </c>
      <c r="AE116" s="49">
        <v>0</v>
      </c>
      <c r="AF116" s="49">
        <v>12.212325096130371</v>
      </c>
      <c r="AG116" s="49">
        <v>108.8574256848961</v>
      </c>
      <c r="AH116" s="49">
        <v>0</v>
      </c>
      <c r="AI116" s="48">
        <v>9999</v>
      </c>
      <c r="AJ116" s="49">
        <v>26.688364028930664</v>
      </c>
      <c r="AK116" s="49">
        <v>0</v>
      </c>
      <c r="AL116" s="49">
        <v>0</v>
      </c>
      <c r="AM116" s="49">
        <v>135.54579162597656</v>
      </c>
      <c r="AN116" s="49">
        <v>0</v>
      </c>
      <c r="AO116" s="48">
        <v>9999</v>
      </c>
    </row>
    <row r="117" spans="1:41" ht="12.75" customHeight="1">
      <c r="A117" t="s">
        <v>431</v>
      </c>
      <c r="B117" t="s">
        <v>406</v>
      </c>
      <c r="C117" s="49">
        <v>18</v>
      </c>
      <c r="D117" s="49">
        <v>5400.6454493453175</v>
      </c>
      <c r="E117" s="49">
        <v>900.16</v>
      </c>
      <c r="F117" s="49">
        <v>0.794533569708932</v>
      </c>
      <c r="G117" s="49">
        <v>15.024137496948242</v>
      </c>
      <c r="H117" s="49" t="s">
        <v>178</v>
      </c>
      <c r="I117" s="49">
        <v>0.158</v>
      </c>
      <c r="J117" s="49">
        <v>0.35499998927116394</v>
      </c>
      <c r="K117" s="49">
        <v>5812.444664857898</v>
      </c>
      <c r="L117" s="60">
        <v>1.4908226357318852</v>
      </c>
      <c r="M117" s="49">
        <v>4.199500509260951</v>
      </c>
      <c r="N117" s="49"/>
      <c r="O117" s="49"/>
      <c r="P117" s="49">
        <v>900.1567920770397</v>
      </c>
      <c r="Q117" s="49">
        <v>0</v>
      </c>
      <c r="R117" s="49">
        <v>0</v>
      </c>
      <c r="S117" s="49">
        <v>9.471877098083496</v>
      </c>
      <c r="T117" s="49">
        <v>0</v>
      </c>
      <c r="U117" s="49">
        <v>0</v>
      </c>
      <c r="V117" s="49">
        <v>900.1567920770397</v>
      </c>
      <c r="W117" s="49">
        <v>24.496014160582135</v>
      </c>
      <c r="X117" s="49">
        <v>924.6528062376218</v>
      </c>
      <c r="Y117" s="49">
        <v>0</v>
      </c>
      <c r="Z117" s="49">
        <v>0</v>
      </c>
      <c r="AA117" s="49">
        <v>12.990787506103516</v>
      </c>
      <c r="AB117" s="49">
        <v>0.3535189926624298</v>
      </c>
      <c r="AC117" s="49">
        <v>13.344306775637557</v>
      </c>
      <c r="AD117" s="49">
        <v>2025.9486141863983</v>
      </c>
      <c r="AE117" s="49">
        <v>53.31765988459199</v>
      </c>
      <c r="AF117" s="49">
        <v>303.27154541015625</v>
      </c>
      <c r="AG117" s="49">
        <v>2380.1200728724143</v>
      </c>
      <c r="AH117" s="49">
        <v>900.1567920770397</v>
      </c>
      <c r="AI117" s="48">
        <v>2.6441172180465116</v>
      </c>
      <c r="AJ117" s="49">
        <v>1001.2705688476562</v>
      </c>
      <c r="AK117" s="49">
        <v>0</v>
      </c>
      <c r="AL117" s="49">
        <v>0</v>
      </c>
      <c r="AM117" s="49">
        <v>3381.390625</v>
      </c>
      <c r="AN117" s="49">
        <v>924.6528062376218</v>
      </c>
      <c r="AO117" s="48">
        <v>3.6569299697875977</v>
      </c>
    </row>
    <row r="118" spans="1:41" ht="12.75" customHeight="1">
      <c r="A118" t="s">
        <v>431</v>
      </c>
      <c r="B118" t="s">
        <v>405</v>
      </c>
      <c r="C118" s="49">
        <v>18</v>
      </c>
      <c r="D118" s="49">
        <v>310.50556530046606</v>
      </c>
      <c r="E118" s="49">
        <v>0</v>
      </c>
      <c r="F118" s="49">
        <v>0</v>
      </c>
      <c r="G118" s="49">
        <v>0</v>
      </c>
      <c r="H118" s="49" t="s">
        <v>174</v>
      </c>
      <c r="I118" s="49">
        <v>0.17</v>
      </c>
      <c r="J118" s="49">
        <v>0</v>
      </c>
      <c r="K118" s="49">
        <v>334.18161465462657</v>
      </c>
      <c r="L118" s="60">
        <v>0</v>
      </c>
      <c r="M118" s="49">
        <v>0.22440344792816716</v>
      </c>
      <c r="N118" s="49"/>
      <c r="O118" s="49"/>
      <c r="P118" s="49">
        <v>0</v>
      </c>
      <c r="Q118" s="49">
        <v>0</v>
      </c>
      <c r="R118" s="49">
        <v>0</v>
      </c>
      <c r="S118" s="49">
        <v>0</v>
      </c>
      <c r="T118" s="49">
        <v>0</v>
      </c>
      <c r="U118" s="49">
        <v>0</v>
      </c>
      <c r="V118" s="49">
        <v>0</v>
      </c>
      <c r="W118" s="49">
        <v>0</v>
      </c>
      <c r="X118" s="49">
        <v>0</v>
      </c>
      <c r="Y118" s="49">
        <v>0</v>
      </c>
      <c r="Z118" s="49">
        <v>0</v>
      </c>
      <c r="AA118" s="49">
        <v>0</v>
      </c>
      <c r="AB118" s="49">
        <v>0</v>
      </c>
      <c r="AC118" s="49">
        <v>0</v>
      </c>
      <c r="AD118" s="49">
        <v>202.80615982063404</v>
      </c>
      <c r="AE118" s="49">
        <v>0</v>
      </c>
      <c r="AF118" s="49">
        <v>25.388362884521484</v>
      </c>
      <c r="AG118" s="49">
        <v>228.19452270515552</v>
      </c>
      <c r="AH118" s="49">
        <v>0</v>
      </c>
      <c r="AI118" s="48">
        <v>9999</v>
      </c>
      <c r="AJ118" s="49">
        <v>53.50364685058594</v>
      </c>
      <c r="AK118" s="49">
        <v>0</v>
      </c>
      <c r="AL118" s="49">
        <v>0</v>
      </c>
      <c r="AM118" s="49">
        <v>281.69818115234375</v>
      </c>
      <c r="AN118" s="49">
        <v>0</v>
      </c>
      <c r="AO118" s="48">
        <v>9999</v>
      </c>
    </row>
    <row r="119" spans="1:41" ht="12.75" customHeight="1">
      <c r="A119" t="s">
        <v>432</v>
      </c>
      <c r="B119" t="s">
        <v>408</v>
      </c>
      <c r="C119" s="49">
        <v>18</v>
      </c>
      <c r="D119" s="49">
        <v>1779.7207198769984</v>
      </c>
      <c r="E119" s="49">
        <v>900.16</v>
      </c>
      <c r="F119" s="49">
        <v>0.794533569708932</v>
      </c>
      <c r="G119" s="49">
        <v>15.024137496948242</v>
      </c>
      <c r="H119" s="49" t="s">
        <v>176</v>
      </c>
      <c r="I119" s="49">
        <v>0.158</v>
      </c>
      <c r="J119" s="49">
        <v>0.35499998927116394</v>
      </c>
      <c r="K119" s="49">
        <v>1915.4244247676195</v>
      </c>
      <c r="L119" s="60">
        <v>0.4912834881236853</v>
      </c>
      <c r="M119" s="49">
        <v>1.3838971914684264</v>
      </c>
      <c r="N119" s="49"/>
      <c r="O119" s="49"/>
      <c r="P119" s="49">
        <v>900.1567920770397</v>
      </c>
      <c r="Q119" s="49">
        <v>0</v>
      </c>
      <c r="R119" s="49">
        <v>0</v>
      </c>
      <c r="S119" s="49">
        <v>9.471877098083496</v>
      </c>
      <c r="T119" s="49">
        <v>0</v>
      </c>
      <c r="U119" s="49">
        <v>0</v>
      </c>
      <c r="V119" s="49">
        <v>900.1567920770397</v>
      </c>
      <c r="W119" s="49">
        <v>24.496014160582135</v>
      </c>
      <c r="X119" s="49">
        <v>924.6528062376218</v>
      </c>
      <c r="Y119" s="49">
        <v>0</v>
      </c>
      <c r="Z119" s="49">
        <v>0</v>
      </c>
      <c r="AA119" s="49">
        <v>39.42115020751953</v>
      </c>
      <c r="AB119" s="49">
        <v>1.0727698802947998</v>
      </c>
      <c r="AC119" s="49">
        <v>40.493920679586</v>
      </c>
      <c r="AD119" s="49">
        <v>630.9619174703528</v>
      </c>
      <c r="AE119" s="49">
        <v>17.57022284132093</v>
      </c>
      <c r="AF119" s="49">
        <v>96.27304077148438</v>
      </c>
      <c r="AG119" s="49">
        <v>744.0084404388532</v>
      </c>
      <c r="AH119" s="49">
        <v>900.1567920770397</v>
      </c>
      <c r="AI119" s="69">
        <v>0.82653205195743</v>
      </c>
      <c r="AJ119" s="49">
        <v>329.9573059082031</v>
      </c>
      <c r="AK119" s="49">
        <v>0</v>
      </c>
      <c r="AL119" s="49">
        <v>0</v>
      </c>
      <c r="AM119" s="49">
        <v>1073.9656982421875</v>
      </c>
      <c r="AN119" s="49">
        <v>924.6528062376218</v>
      </c>
      <c r="AO119" s="48">
        <v>1.1614799499511719</v>
      </c>
    </row>
    <row r="120" spans="1:41" ht="12.75" customHeight="1">
      <c r="A120" t="s">
        <v>432</v>
      </c>
      <c r="B120" t="s">
        <v>409</v>
      </c>
      <c r="C120" s="49">
        <v>18</v>
      </c>
      <c r="D120" s="49">
        <v>101.08871041512634</v>
      </c>
      <c r="E120" s="49"/>
      <c r="F120" s="49">
        <v>0</v>
      </c>
      <c r="G120" s="49">
        <v>0</v>
      </c>
      <c r="H120" s="49" t="s">
        <v>173</v>
      </c>
      <c r="I120" s="49">
        <v>0.17</v>
      </c>
      <c r="J120" s="49">
        <v>0</v>
      </c>
      <c r="K120" s="49">
        <v>108.79672458427973</v>
      </c>
      <c r="L120" s="60">
        <v>0</v>
      </c>
      <c r="M120" s="49">
        <v>0.07305716128409866</v>
      </c>
      <c r="N120" s="49"/>
      <c r="O120" s="49"/>
      <c r="P120" s="49">
        <v>0</v>
      </c>
      <c r="Q120" s="49">
        <v>0</v>
      </c>
      <c r="R120" s="49">
        <v>0</v>
      </c>
      <c r="S120" s="49">
        <v>0</v>
      </c>
      <c r="T120" s="49">
        <v>0</v>
      </c>
      <c r="U120" s="49">
        <v>0</v>
      </c>
      <c r="V120" s="49">
        <v>0</v>
      </c>
      <c r="W120" s="49">
        <v>0</v>
      </c>
      <c r="X120" s="49">
        <v>0</v>
      </c>
      <c r="Y120" s="49">
        <v>0</v>
      </c>
      <c r="Z120" s="49">
        <v>0</v>
      </c>
      <c r="AA120" s="49">
        <v>0</v>
      </c>
      <c r="AB120" s="49">
        <v>0</v>
      </c>
      <c r="AC120" s="49">
        <v>0</v>
      </c>
      <c r="AD120" s="49">
        <v>63.0775093573216</v>
      </c>
      <c r="AE120" s="49">
        <v>0</v>
      </c>
      <c r="AF120" s="49">
        <v>7.970637321472168</v>
      </c>
      <c r="AG120" s="49">
        <v>71.04814667879377</v>
      </c>
      <c r="AH120" s="49">
        <v>0</v>
      </c>
      <c r="AI120" s="48">
        <v>9999</v>
      </c>
      <c r="AJ120" s="49">
        <v>17.41873550415039</v>
      </c>
      <c r="AK120" s="49">
        <v>0</v>
      </c>
      <c r="AL120" s="49">
        <v>0</v>
      </c>
      <c r="AM120" s="49">
        <v>88.46688079833984</v>
      </c>
      <c r="AN120" s="49">
        <v>0</v>
      </c>
      <c r="AO120" s="48">
        <v>9999</v>
      </c>
    </row>
    <row r="121" spans="1:41" ht="12.75" customHeight="1">
      <c r="A121" t="s">
        <v>433</v>
      </c>
      <c r="B121" t="s">
        <v>410</v>
      </c>
      <c r="C121" s="49">
        <v>18</v>
      </c>
      <c r="D121" s="49">
        <v>2816.7731014733</v>
      </c>
      <c r="E121" s="49">
        <v>900.16</v>
      </c>
      <c r="F121" s="49">
        <v>0.794533569708932</v>
      </c>
      <c r="G121" s="49">
        <v>15.024137496948242</v>
      </c>
      <c r="H121" s="49" t="s">
        <v>177</v>
      </c>
      <c r="I121" s="49">
        <v>0.158</v>
      </c>
      <c r="J121" s="49">
        <v>0.35499998927116394</v>
      </c>
      <c r="K121" s="49">
        <v>3031.552050460639</v>
      </c>
      <c r="L121" s="60">
        <v>0.7775568936683586</v>
      </c>
      <c r="M121" s="49">
        <v>2.1903011751203967</v>
      </c>
      <c r="N121" s="49"/>
      <c r="O121" s="49"/>
      <c r="P121" s="49">
        <v>900.1567920770397</v>
      </c>
      <c r="Q121" s="49">
        <v>0</v>
      </c>
      <c r="R121" s="49">
        <v>0</v>
      </c>
      <c r="S121" s="49">
        <v>9.471877098083496</v>
      </c>
      <c r="T121" s="49">
        <v>0</v>
      </c>
      <c r="U121" s="49">
        <v>0</v>
      </c>
      <c r="V121" s="49">
        <v>900.1567920770397</v>
      </c>
      <c r="W121" s="49">
        <v>24.496014160582135</v>
      </c>
      <c r="X121" s="49">
        <v>924.6528062376218</v>
      </c>
      <c r="Y121" s="49">
        <v>0</v>
      </c>
      <c r="Z121" s="49">
        <v>0</v>
      </c>
      <c r="AA121" s="49">
        <v>24.907451629638672</v>
      </c>
      <c r="AB121" s="49">
        <v>0.6778078079223633</v>
      </c>
      <c r="AC121" s="49">
        <v>25.585259112571084</v>
      </c>
      <c r="AD121" s="49">
        <v>1045.1932279493608</v>
      </c>
      <c r="AE121" s="49">
        <v>27.808481709279103</v>
      </c>
      <c r="AF121" s="49">
        <v>157.0284881591797</v>
      </c>
      <c r="AG121" s="49">
        <v>1228.7691923181007</v>
      </c>
      <c r="AH121" s="49">
        <v>900.1567920770397</v>
      </c>
      <c r="AI121" s="48">
        <v>1.3650612905811823</v>
      </c>
      <c r="AJ121" s="49">
        <v>522.2250366210938</v>
      </c>
      <c r="AK121" s="49">
        <v>0</v>
      </c>
      <c r="AL121" s="49">
        <v>0</v>
      </c>
      <c r="AM121" s="49">
        <v>1750.9942626953125</v>
      </c>
      <c r="AN121" s="49">
        <v>924.6528062376218</v>
      </c>
      <c r="AO121" s="48">
        <v>1.8936775922775269</v>
      </c>
    </row>
    <row r="122" spans="1:41" ht="12.75" customHeight="1">
      <c r="A122" t="s">
        <v>433</v>
      </c>
      <c r="B122" t="s">
        <v>411</v>
      </c>
      <c r="C122" s="49">
        <v>18</v>
      </c>
      <c r="D122" s="49">
        <v>214.66952066058445</v>
      </c>
      <c r="E122" s="49"/>
      <c r="F122" s="49">
        <v>0</v>
      </c>
      <c r="G122" s="49">
        <v>0</v>
      </c>
      <c r="H122" s="49" t="s">
        <v>174</v>
      </c>
      <c r="I122" s="49">
        <v>0.17</v>
      </c>
      <c r="J122" s="49">
        <v>0</v>
      </c>
      <c r="K122" s="49">
        <v>231.038071610954</v>
      </c>
      <c r="L122" s="60">
        <v>0</v>
      </c>
      <c r="M122" s="49">
        <v>0.15514240640004967</v>
      </c>
      <c r="N122" s="49"/>
      <c r="O122" s="49"/>
      <c r="P122" s="49">
        <v>0</v>
      </c>
      <c r="Q122" s="49">
        <v>0</v>
      </c>
      <c r="R122" s="49">
        <v>0</v>
      </c>
      <c r="S122" s="49">
        <v>0</v>
      </c>
      <c r="T122" s="49">
        <v>0</v>
      </c>
      <c r="U122" s="49">
        <v>0</v>
      </c>
      <c r="V122" s="49">
        <v>0</v>
      </c>
      <c r="W122" s="49">
        <v>0</v>
      </c>
      <c r="X122" s="49">
        <v>0</v>
      </c>
      <c r="Y122" s="49">
        <v>0</v>
      </c>
      <c r="Z122" s="49">
        <v>0</v>
      </c>
      <c r="AA122" s="49">
        <v>0</v>
      </c>
      <c r="AB122" s="49">
        <v>0</v>
      </c>
      <c r="AC122" s="49">
        <v>0</v>
      </c>
      <c r="AD122" s="49">
        <v>140.2110170668944</v>
      </c>
      <c r="AE122" s="49">
        <v>0</v>
      </c>
      <c r="AF122" s="49">
        <v>17.552366256713867</v>
      </c>
      <c r="AG122" s="49">
        <v>157.76338332360828</v>
      </c>
      <c r="AH122" s="49">
        <v>0</v>
      </c>
      <c r="AI122" s="48">
        <v>9999</v>
      </c>
      <c r="AJ122" s="49">
        <v>36.9900016784668</v>
      </c>
      <c r="AK122" s="49">
        <v>0</v>
      </c>
      <c r="AL122" s="49">
        <v>0</v>
      </c>
      <c r="AM122" s="49">
        <v>194.75338745117188</v>
      </c>
      <c r="AN122" s="49">
        <v>0</v>
      </c>
      <c r="AO122" s="48">
        <v>9999</v>
      </c>
    </row>
    <row r="123" spans="1:41" ht="12.75" customHeight="1">
      <c r="A123" t="s">
        <v>434</v>
      </c>
      <c r="B123" t="s">
        <v>412</v>
      </c>
      <c r="C123" s="49">
        <v>18</v>
      </c>
      <c r="D123" s="49">
        <v>3582.869701695641</v>
      </c>
      <c r="E123" s="49">
        <v>900.16</v>
      </c>
      <c r="F123" s="49">
        <v>0.794533569708932</v>
      </c>
      <c r="G123" s="49">
        <v>15.024137496948242</v>
      </c>
      <c r="H123" s="49" t="s">
        <v>178</v>
      </c>
      <c r="I123" s="49">
        <v>0.158</v>
      </c>
      <c r="J123" s="49">
        <v>0.35499998927116394</v>
      </c>
      <c r="K123" s="49">
        <v>3856.0635164499336</v>
      </c>
      <c r="L123" s="60">
        <v>0.9890342371601737</v>
      </c>
      <c r="M123" s="49">
        <v>2.786012019861521</v>
      </c>
      <c r="N123" s="49"/>
      <c r="O123" s="49"/>
      <c r="P123" s="49">
        <v>900.1567920770397</v>
      </c>
      <c r="Q123" s="49">
        <v>0</v>
      </c>
      <c r="R123" s="49">
        <v>0</v>
      </c>
      <c r="S123" s="49">
        <v>9.471877098083496</v>
      </c>
      <c r="T123" s="49">
        <v>0</v>
      </c>
      <c r="U123" s="49">
        <v>0</v>
      </c>
      <c r="V123" s="49">
        <v>900.1567920770397</v>
      </c>
      <c r="W123" s="49">
        <v>24.496014160582135</v>
      </c>
      <c r="X123" s="49">
        <v>924.6528062376218</v>
      </c>
      <c r="Y123" s="49">
        <v>0</v>
      </c>
      <c r="Z123" s="49">
        <v>0</v>
      </c>
      <c r="AA123" s="49">
        <v>19.581687927246094</v>
      </c>
      <c r="AB123" s="49">
        <v>0.532877504825592</v>
      </c>
      <c r="AC123" s="49">
        <v>20.114566161423003</v>
      </c>
      <c r="AD123" s="49">
        <v>1344.0448877903345</v>
      </c>
      <c r="AE123" s="49">
        <v>35.37174027763201</v>
      </c>
      <c r="AF123" s="49">
        <v>201.19493103027344</v>
      </c>
      <c r="AG123" s="49">
        <v>1579.0075895075581</v>
      </c>
      <c r="AH123" s="49">
        <v>900.1567920770397</v>
      </c>
      <c r="AI123" s="48">
        <v>1.7541472812354442</v>
      </c>
      <c r="AJ123" s="49">
        <v>664.2581787109375</v>
      </c>
      <c r="AK123" s="49">
        <v>0</v>
      </c>
      <c r="AL123" s="49">
        <v>0</v>
      </c>
      <c r="AM123" s="49">
        <v>2243.265869140625</v>
      </c>
      <c r="AN123" s="49">
        <v>924.6528062376218</v>
      </c>
      <c r="AO123" s="48">
        <v>2.426062822341919</v>
      </c>
    </row>
    <row r="124" spans="1:41" ht="12.75" customHeight="1">
      <c r="A124" t="s">
        <v>434</v>
      </c>
      <c r="B124" t="s">
        <v>413</v>
      </c>
      <c r="C124" s="49">
        <v>18</v>
      </c>
      <c r="D124" s="49">
        <v>457.7625868038931</v>
      </c>
      <c r="E124" s="49"/>
      <c r="F124" s="49">
        <v>0</v>
      </c>
      <c r="G124" s="49">
        <v>0</v>
      </c>
      <c r="H124" s="49" t="s">
        <v>175</v>
      </c>
      <c r="I124" s="49">
        <v>0.17</v>
      </c>
      <c r="J124" s="49">
        <v>0</v>
      </c>
      <c r="K124" s="49">
        <v>492.66698404768994</v>
      </c>
      <c r="L124" s="60">
        <v>0</v>
      </c>
      <c r="M124" s="49">
        <v>0.3308266076065605</v>
      </c>
      <c r="N124" s="49"/>
      <c r="O124" s="49"/>
      <c r="P124" s="49">
        <v>0</v>
      </c>
      <c r="Q124" s="49">
        <v>0</v>
      </c>
      <c r="R124" s="49">
        <v>0</v>
      </c>
      <c r="S124" s="49">
        <v>0</v>
      </c>
      <c r="T124" s="49">
        <v>0</v>
      </c>
      <c r="U124" s="49">
        <v>0</v>
      </c>
      <c r="V124" s="49">
        <v>0</v>
      </c>
      <c r="W124" s="49">
        <v>0</v>
      </c>
      <c r="X124" s="49">
        <v>0</v>
      </c>
      <c r="Y124" s="49">
        <v>0</v>
      </c>
      <c r="Z124" s="49">
        <v>0</v>
      </c>
      <c r="AA124" s="49">
        <v>0</v>
      </c>
      <c r="AB124" s="49">
        <v>0</v>
      </c>
      <c r="AC124" s="49">
        <v>0</v>
      </c>
      <c r="AD124" s="49">
        <v>336.4486977757747</v>
      </c>
      <c r="AE124" s="49">
        <v>0</v>
      </c>
      <c r="AF124" s="49">
        <v>41.17496109008789</v>
      </c>
      <c r="AG124" s="49">
        <v>377.6236588658626</v>
      </c>
      <c r="AH124" s="49">
        <v>0</v>
      </c>
      <c r="AI124" s="48">
        <v>9999</v>
      </c>
      <c r="AJ124" s="49">
        <v>78.87771606445312</v>
      </c>
      <c r="AK124" s="49">
        <v>0</v>
      </c>
      <c r="AL124" s="49">
        <v>0</v>
      </c>
      <c r="AM124" s="49">
        <v>456.5013732910156</v>
      </c>
      <c r="AN124" s="49">
        <v>0</v>
      </c>
      <c r="AO124" s="48">
        <v>9999</v>
      </c>
    </row>
    <row r="125" spans="1:41" ht="12.75" customHeight="1">
      <c r="A125" t="s">
        <v>435</v>
      </c>
      <c r="B125" t="s">
        <v>408</v>
      </c>
      <c r="C125" s="49">
        <v>18</v>
      </c>
      <c r="D125" s="49">
        <v>1779.7207198769984</v>
      </c>
      <c r="E125" s="49">
        <v>900.16</v>
      </c>
      <c r="F125" s="49">
        <v>0.794533569708932</v>
      </c>
      <c r="G125" s="49">
        <v>15.024137496948242</v>
      </c>
      <c r="H125" s="49" t="s">
        <v>176</v>
      </c>
      <c r="I125" s="49">
        <v>0.158</v>
      </c>
      <c r="J125" s="49">
        <v>0.35499998927116394</v>
      </c>
      <c r="K125" s="49">
        <v>1915.4244247676195</v>
      </c>
      <c r="L125" s="60">
        <v>0.4912834881236853</v>
      </c>
      <c r="M125" s="49">
        <v>1.3838971914684264</v>
      </c>
      <c r="N125" s="49"/>
      <c r="O125" s="49"/>
      <c r="P125" s="49">
        <v>900.1567920770397</v>
      </c>
      <c r="Q125" s="49">
        <v>0</v>
      </c>
      <c r="R125" s="49">
        <v>0</v>
      </c>
      <c r="S125" s="49">
        <v>9.471877098083496</v>
      </c>
      <c r="T125" s="49">
        <v>0</v>
      </c>
      <c r="U125" s="49">
        <v>0</v>
      </c>
      <c r="V125" s="49">
        <v>900.1567920770397</v>
      </c>
      <c r="W125" s="49">
        <v>24.496014160582135</v>
      </c>
      <c r="X125" s="49">
        <v>924.6528062376218</v>
      </c>
      <c r="Y125" s="49">
        <v>0</v>
      </c>
      <c r="Z125" s="49">
        <v>0</v>
      </c>
      <c r="AA125" s="49">
        <v>39.42115020751953</v>
      </c>
      <c r="AB125" s="49">
        <v>1.0727698802947998</v>
      </c>
      <c r="AC125" s="49">
        <v>40.493920679586</v>
      </c>
      <c r="AD125" s="49">
        <v>630.9619174703528</v>
      </c>
      <c r="AE125" s="49">
        <v>17.57022284132093</v>
      </c>
      <c r="AF125" s="49">
        <v>96.27304077148438</v>
      </c>
      <c r="AG125" s="49">
        <v>744.0084404388532</v>
      </c>
      <c r="AH125" s="49">
        <v>900.1567920770397</v>
      </c>
      <c r="AI125" s="69">
        <v>0.82653205195743</v>
      </c>
      <c r="AJ125" s="49">
        <v>329.9573059082031</v>
      </c>
      <c r="AK125" s="49">
        <v>0</v>
      </c>
      <c r="AL125" s="49">
        <v>0</v>
      </c>
      <c r="AM125" s="49">
        <v>1073.9656982421875</v>
      </c>
      <c r="AN125" s="49">
        <v>924.6528062376218</v>
      </c>
      <c r="AO125" s="48">
        <v>1.1614799499511719</v>
      </c>
    </row>
    <row r="126" spans="1:41" ht="12.75" customHeight="1">
      <c r="A126" t="s">
        <v>435</v>
      </c>
      <c r="B126" t="s">
        <v>411</v>
      </c>
      <c r="C126" s="49">
        <v>18</v>
      </c>
      <c r="D126" s="49">
        <v>214.66952066058445</v>
      </c>
      <c r="E126" s="49">
        <v>0</v>
      </c>
      <c r="F126" s="49">
        <v>0</v>
      </c>
      <c r="G126" s="49">
        <v>0</v>
      </c>
      <c r="H126" s="49" t="s">
        <v>174</v>
      </c>
      <c r="I126" s="49">
        <v>0.17</v>
      </c>
      <c r="J126" s="49">
        <v>0</v>
      </c>
      <c r="K126" s="49">
        <v>231.038071610954</v>
      </c>
      <c r="L126" s="60">
        <v>0</v>
      </c>
      <c r="M126" s="49">
        <v>0.15514240640004967</v>
      </c>
      <c r="N126" s="49"/>
      <c r="O126" s="49"/>
      <c r="P126" s="49">
        <v>0</v>
      </c>
      <c r="Q126" s="49">
        <v>0</v>
      </c>
      <c r="R126" s="49">
        <v>0</v>
      </c>
      <c r="S126" s="49">
        <v>0</v>
      </c>
      <c r="T126" s="49">
        <v>0</v>
      </c>
      <c r="U126" s="49">
        <v>0</v>
      </c>
      <c r="V126" s="49">
        <v>0</v>
      </c>
      <c r="W126" s="49">
        <v>0</v>
      </c>
      <c r="X126" s="49">
        <v>0</v>
      </c>
      <c r="Y126" s="49">
        <v>0</v>
      </c>
      <c r="Z126" s="49">
        <v>0</v>
      </c>
      <c r="AA126" s="49">
        <v>0</v>
      </c>
      <c r="AB126" s="49">
        <v>0</v>
      </c>
      <c r="AC126" s="49">
        <v>0</v>
      </c>
      <c r="AD126" s="49">
        <v>140.2110170668944</v>
      </c>
      <c r="AE126" s="49">
        <v>0</v>
      </c>
      <c r="AF126" s="49">
        <v>17.552366256713867</v>
      </c>
      <c r="AG126" s="49">
        <v>157.76338332360828</v>
      </c>
      <c r="AH126" s="49">
        <v>0</v>
      </c>
      <c r="AI126" s="48">
        <v>9999</v>
      </c>
      <c r="AJ126" s="49">
        <v>36.9900016784668</v>
      </c>
      <c r="AK126" s="49">
        <v>0</v>
      </c>
      <c r="AL126" s="49">
        <v>0</v>
      </c>
      <c r="AM126" s="49">
        <v>194.75338745117188</v>
      </c>
      <c r="AN126" s="49">
        <v>0</v>
      </c>
      <c r="AO126" s="48">
        <v>9999</v>
      </c>
    </row>
    <row r="127" spans="1:41" ht="12.75" customHeight="1">
      <c r="A127" t="s">
        <v>436</v>
      </c>
      <c r="B127" t="s">
        <v>408</v>
      </c>
      <c r="C127" s="49">
        <v>18</v>
      </c>
      <c r="D127" s="49">
        <v>1779.7207198769984</v>
      </c>
      <c r="E127" s="49">
        <v>900.16</v>
      </c>
      <c r="F127" s="49">
        <v>0.794533569708932</v>
      </c>
      <c r="G127" s="49">
        <v>15.024137496948242</v>
      </c>
      <c r="H127" s="49" t="s">
        <v>176</v>
      </c>
      <c r="I127" s="49">
        <v>0.158</v>
      </c>
      <c r="J127" s="49">
        <v>0.35499998927116394</v>
      </c>
      <c r="K127" s="49">
        <v>1915.4244247676195</v>
      </c>
      <c r="L127" s="60">
        <v>0.4912834881236853</v>
      </c>
      <c r="M127" s="49">
        <v>1.3838971914684264</v>
      </c>
      <c r="N127" s="49"/>
      <c r="O127" s="49"/>
      <c r="P127" s="49">
        <v>900.1567920770397</v>
      </c>
      <c r="Q127" s="49">
        <v>0</v>
      </c>
      <c r="R127" s="49">
        <v>0</v>
      </c>
      <c r="S127" s="49">
        <v>9.471877098083496</v>
      </c>
      <c r="T127" s="49">
        <v>0</v>
      </c>
      <c r="U127" s="49">
        <v>0</v>
      </c>
      <c r="V127" s="49">
        <v>900.1567920770397</v>
      </c>
      <c r="W127" s="49">
        <v>24.496014160582135</v>
      </c>
      <c r="X127" s="49">
        <v>924.6528062376218</v>
      </c>
      <c r="Y127" s="49">
        <v>0</v>
      </c>
      <c r="Z127" s="49">
        <v>0</v>
      </c>
      <c r="AA127" s="49">
        <v>39.42115020751953</v>
      </c>
      <c r="AB127" s="49">
        <v>1.0727698802947998</v>
      </c>
      <c r="AC127" s="49">
        <v>40.493920679586</v>
      </c>
      <c r="AD127" s="49">
        <v>630.9619174703528</v>
      </c>
      <c r="AE127" s="49">
        <v>17.57022284132093</v>
      </c>
      <c r="AF127" s="49">
        <v>96.27304077148438</v>
      </c>
      <c r="AG127" s="49">
        <v>744.0084404388532</v>
      </c>
      <c r="AH127" s="49">
        <v>900.1567920770397</v>
      </c>
      <c r="AI127" s="69">
        <v>0.82653205195743</v>
      </c>
      <c r="AJ127" s="49">
        <v>329.9573059082031</v>
      </c>
      <c r="AK127" s="49">
        <v>0</v>
      </c>
      <c r="AL127" s="49">
        <v>0</v>
      </c>
      <c r="AM127" s="49">
        <v>1073.9656982421875</v>
      </c>
      <c r="AN127" s="49">
        <v>924.6528062376218</v>
      </c>
      <c r="AO127" s="48">
        <v>1.1614799499511719</v>
      </c>
    </row>
    <row r="128" spans="1:41" ht="12.75" customHeight="1">
      <c r="A128" t="s">
        <v>436</v>
      </c>
      <c r="B128" t="s">
        <v>413</v>
      </c>
      <c r="C128" s="49">
        <v>18</v>
      </c>
      <c r="D128" s="49">
        <v>457.7625868038931</v>
      </c>
      <c r="E128" s="49">
        <v>0</v>
      </c>
      <c r="F128" s="49">
        <v>0</v>
      </c>
      <c r="G128" s="49">
        <v>0</v>
      </c>
      <c r="H128" s="49" t="s">
        <v>175</v>
      </c>
      <c r="I128" s="49">
        <v>0.17</v>
      </c>
      <c r="J128" s="49">
        <v>0</v>
      </c>
      <c r="K128" s="49">
        <v>492.66698404768994</v>
      </c>
      <c r="L128" s="60">
        <v>0</v>
      </c>
      <c r="M128" s="49">
        <v>0.3308266076065605</v>
      </c>
      <c r="N128" s="49"/>
      <c r="O128" s="49"/>
      <c r="P128" s="49">
        <v>0</v>
      </c>
      <c r="Q128" s="49">
        <v>0</v>
      </c>
      <c r="R128" s="49">
        <v>0</v>
      </c>
      <c r="S128" s="49">
        <v>0</v>
      </c>
      <c r="T128" s="49">
        <v>0</v>
      </c>
      <c r="U128" s="49">
        <v>0</v>
      </c>
      <c r="V128" s="49">
        <v>0</v>
      </c>
      <c r="W128" s="49">
        <v>0</v>
      </c>
      <c r="X128" s="49">
        <v>0</v>
      </c>
      <c r="Y128" s="49">
        <v>0</v>
      </c>
      <c r="Z128" s="49">
        <v>0</v>
      </c>
      <c r="AA128" s="49">
        <v>0</v>
      </c>
      <c r="AB128" s="49">
        <v>0</v>
      </c>
      <c r="AC128" s="49">
        <v>0</v>
      </c>
      <c r="AD128" s="49">
        <v>336.4486977757747</v>
      </c>
      <c r="AE128" s="49">
        <v>0</v>
      </c>
      <c r="AF128" s="49">
        <v>41.17496109008789</v>
      </c>
      <c r="AG128" s="49">
        <v>377.6236588658626</v>
      </c>
      <c r="AH128" s="49">
        <v>0</v>
      </c>
      <c r="AI128" s="48">
        <v>9999</v>
      </c>
      <c r="AJ128" s="49">
        <v>78.87771606445312</v>
      </c>
      <c r="AK128" s="49">
        <v>0</v>
      </c>
      <c r="AL128" s="49">
        <v>0</v>
      </c>
      <c r="AM128" s="49">
        <v>456.5013732910156</v>
      </c>
      <c r="AN128" s="49">
        <v>0</v>
      </c>
      <c r="AO128" s="48">
        <v>9999</v>
      </c>
    </row>
    <row r="129" spans="1:41" ht="12.75" customHeight="1">
      <c r="A129" t="s">
        <v>437</v>
      </c>
      <c r="B129" t="s">
        <v>410</v>
      </c>
      <c r="C129" s="49">
        <v>18</v>
      </c>
      <c r="D129" s="49">
        <v>2816.7731014733</v>
      </c>
      <c r="E129" s="49">
        <v>900.16</v>
      </c>
      <c r="F129" s="49">
        <v>0.794533569708932</v>
      </c>
      <c r="G129" s="49">
        <v>15.024137496948242</v>
      </c>
      <c r="H129" s="49" t="s">
        <v>177</v>
      </c>
      <c r="I129" s="49">
        <v>0.158</v>
      </c>
      <c r="J129" s="49">
        <v>0.35499998927116394</v>
      </c>
      <c r="K129" s="49">
        <v>3031.552050460639</v>
      </c>
      <c r="L129" s="60">
        <v>0.7775568936683586</v>
      </c>
      <c r="M129" s="49">
        <v>2.1903011751203967</v>
      </c>
      <c r="N129" s="49"/>
      <c r="O129" s="49"/>
      <c r="P129" s="49">
        <v>900.1567920770397</v>
      </c>
      <c r="Q129" s="49">
        <v>0</v>
      </c>
      <c r="R129" s="49">
        <v>0</v>
      </c>
      <c r="S129" s="49">
        <v>9.471877098083496</v>
      </c>
      <c r="T129" s="49">
        <v>0</v>
      </c>
      <c r="U129" s="49">
        <v>0</v>
      </c>
      <c r="V129" s="49">
        <v>900.1567920770397</v>
      </c>
      <c r="W129" s="49">
        <v>24.496014160582135</v>
      </c>
      <c r="X129" s="49">
        <v>924.6528062376218</v>
      </c>
      <c r="Y129" s="49">
        <v>0</v>
      </c>
      <c r="Z129" s="49">
        <v>0</v>
      </c>
      <c r="AA129" s="49">
        <v>24.907451629638672</v>
      </c>
      <c r="AB129" s="49">
        <v>0.6778078079223633</v>
      </c>
      <c r="AC129" s="49">
        <v>25.585259112571084</v>
      </c>
      <c r="AD129" s="49">
        <v>1045.1932279493608</v>
      </c>
      <c r="AE129" s="49">
        <v>27.808481709279103</v>
      </c>
      <c r="AF129" s="49">
        <v>157.0284881591797</v>
      </c>
      <c r="AG129" s="49">
        <v>1228.7691923181007</v>
      </c>
      <c r="AH129" s="49">
        <v>900.1567920770397</v>
      </c>
      <c r="AI129" s="48">
        <v>1.3650612905811823</v>
      </c>
      <c r="AJ129" s="49">
        <v>522.2250366210938</v>
      </c>
      <c r="AK129" s="49">
        <v>0</v>
      </c>
      <c r="AL129" s="49">
        <v>0</v>
      </c>
      <c r="AM129" s="49">
        <v>1750.9942626953125</v>
      </c>
      <c r="AN129" s="49">
        <v>924.6528062376218</v>
      </c>
      <c r="AO129" s="48">
        <v>1.8936775922775269</v>
      </c>
    </row>
    <row r="130" spans="1:41" ht="12.75" customHeight="1">
      <c r="A130" t="s">
        <v>437</v>
      </c>
      <c r="B130" t="s">
        <v>413</v>
      </c>
      <c r="C130" s="49">
        <v>18</v>
      </c>
      <c r="D130" s="49">
        <v>457.7625868038931</v>
      </c>
      <c r="E130" s="49">
        <v>0</v>
      </c>
      <c r="F130" s="49">
        <v>0</v>
      </c>
      <c r="G130" s="49">
        <v>0</v>
      </c>
      <c r="H130" s="49" t="s">
        <v>175</v>
      </c>
      <c r="I130" s="49">
        <v>0.17</v>
      </c>
      <c r="J130" s="49">
        <v>0</v>
      </c>
      <c r="K130" s="49">
        <v>492.66698404768994</v>
      </c>
      <c r="L130" s="60">
        <v>0</v>
      </c>
      <c r="M130" s="49">
        <v>0.3308266076065605</v>
      </c>
      <c r="N130" s="49"/>
      <c r="O130" s="49"/>
      <c r="P130" s="49">
        <v>0</v>
      </c>
      <c r="Q130" s="49">
        <v>0</v>
      </c>
      <c r="R130" s="49">
        <v>0</v>
      </c>
      <c r="S130" s="49">
        <v>0</v>
      </c>
      <c r="T130" s="49">
        <v>0</v>
      </c>
      <c r="U130" s="49">
        <v>0</v>
      </c>
      <c r="V130" s="49">
        <v>0</v>
      </c>
      <c r="W130" s="49">
        <v>0</v>
      </c>
      <c r="X130" s="49">
        <v>0</v>
      </c>
      <c r="Y130" s="49">
        <v>0</v>
      </c>
      <c r="Z130" s="49">
        <v>0</v>
      </c>
      <c r="AA130" s="49">
        <v>0</v>
      </c>
      <c r="AB130" s="49">
        <v>0</v>
      </c>
      <c r="AC130" s="49">
        <v>0</v>
      </c>
      <c r="AD130" s="49">
        <v>336.4486977757747</v>
      </c>
      <c r="AE130" s="49">
        <v>0</v>
      </c>
      <c r="AF130" s="49">
        <v>41.17496109008789</v>
      </c>
      <c r="AG130" s="49">
        <v>377.6236588658626</v>
      </c>
      <c r="AH130" s="49">
        <v>0</v>
      </c>
      <c r="AI130" s="48">
        <v>9999</v>
      </c>
      <c r="AJ130" s="49">
        <v>78.87771606445312</v>
      </c>
      <c r="AK130" s="49">
        <v>0</v>
      </c>
      <c r="AL130" s="49">
        <v>0</v>
      </c>
      <c r="AM130" s="49">
        <v>456.5013732910156</v>
      </c>
      <c r="AN130" s="49">
        <v>0</v>
      </c>
      <c r="AO130" s="48">
        <v>9999</v>
      </c>
    </row>
    <row r="131" spans="1:41" ht="12.75" customHeight="1">
      <c r="A131" t="s">
        <v>438</v>
      </c>
      <c r="B131" t="s">
        <v>410</v>
      </c>
      <c r="C131" s="49">
        <v>18</v>
      </c>
      <c r="D131" s="49">
        <v>2816.7731014733</v>
      </c>
      <c r="E131" s="49">
        <v>900.16</v>
      </c>
      <c r="F131" s="49">
        <v>0.794533569708932</v>
      </c>
      <c r="G131" s="49">
        <v>15.024137496948242</v>
      </c>
      <c r="H131" s="49" t="s">
        <v>177</v>
      </c>
      <c r="I131" s="49">
        <v>0.158</v>
      </c>
      <c r="J131" s="49">
        <v>0.35499998927116394</v>
      </c>
      <c r="K131" s="49">
        <v>3031.552050460639</v>
      </c>
      <c r="L131" s="60">
        <v>0.7775568936683586</v>
      </c>
      <c r="M131" s="49">
        <v>2.1903011751203967</v>
      </c>
      <c r="N131" s="49"/>
      <c r="O131" s="49"/>
      <c r="P131" s="49">
        <v>900.1567920770397</v>
      </c>
      <c r="Q131" s="49">
        <v>0</v>
      </c>
      <c r="R131" s="49">
        <v>0</v>
      </c>
      <c r="S131" s="49">
        <v>9.471877098083496</v>
      </c>
      <c r="T131" s="49">
        <v>0</v>
      </c>
      <c r="U131" s="49">
        <v>0</v>
      </c>
      <c r="V131" s="49">
        <v>900.1567920770397</v>
      </c>
      <c r="W131" s="49">
        <v>24.496014160582135</v>
      </c>
      <c r="X131" s="49">
        <v>924.6528062376218</v>
      </c>
      <c r="Y131" s="49">
        <v>0</v>
      </c>
      <c r="Z131" s="49">
        <v>0</v>
      </c>
      <c r="AA131" s="49">
        <v>24.907451629638672</v>
      </c>
      <c r="AB131" s="49">
        <v>0.6778078079223633</v>
      </c>
      <c r="AC131" s="49">
        <v>25.585259112571084</v>
      </c>
      <c r="AD131" s="49">
        <v>1045.1932279493608</v>
      </c>
      <c r="AE131" s="49">
        <v>27.808481709279103</v>
      </c>
      <c r="AF131" s="49">
        <v>157.0284881591797</v>
      </c>
      <c r="AG131" s="49">
        <v>1228.7691923181007</v>
      </c>
      <c r="AH131" s="49">
        <v>900.1567920770397</v>
      </c>
      <c r="AI131" s="48">
        <v>1.3650612905811823</v>
      </c>
      <c r="AJ131" s="49">
        <v>522.2250366210938</v>
      </c>
      <c r="AK131" s="49">
        <v>0</v>
      </c>
      <c r="AL131" s="49">
        <v>0</v>
      </c>
      <c r="AM131" s="49">
        <v>1750.9942626953125</v>
      </c>
      <c r="AN131" s="49">
        <v>924.6528062376218</v>
      </c>
      <c r="AO131" s="48">
        <v>1.8936775922775269</v>
      </c>
    </row>
    <row r="132" spans="1:41" ht="12.75" customHeight="1">
      <c r="A132" t="s">
        <v>438</v>
      </c>
      <c r="B132" t="s">
        <v>409</v>
      </c>
      <c r="C132" s="49">
        <v>18</v>
      </c>
      <c r="D132" s="49">
        <v>101.08871041512634</v>
      </c>
      <c r="E132" s="49">
        <v>0</v>
      </c>
      <c r="F132" s="49">
        <v>0</v>
      </c>
      <c r="G132" s="49">
        <v>0</v>
      </c>
      <c r="H132" s="49" t="s">
        <v>173</v>
      </c>
      <c r="I132" s="49">
        <v>0.17</v>
      </c>
      <c r="J132" s="49">
        <v>0</v>
      </c>
      <c r="K132" s="49">
        <v>108.79672458427973</v>
      </c>
      <c r="L132" s="60">
        <v>0</v>
      </c>
      <c r="M132" s="49">
        <v>0.07305716128409866</v>
      </c>
      <c r="N132" s="49"/>
      <c r="O132" s="49"/>
      <c r="P132" s="49">
        <v>0</v>
      </c>
      <c r="Q132" s="49">
        <v>0</v>
      </c>
      <c r="R132" s="49">
        <v>0</v>
      </c>
      <c r="S132" s="49">
        <v>0</v>
      </c>
      <c r="T132" s="49">
        <v>0</v>
      </c>
      <c r="U132" s="49">
        <v>0</v>
      </c>
      <c r="V132" s="49">
        <v>0</v>
      </c>
      <c r="W132" s="49">
        <v>0</v>
      </c>
      <c r="X132" s="49">
        <v>0</v>
      </c>
      <c r="Y132" s="49">
        <v>0</v>
      </c>
      <c r="Z132" s="49">
        <v>0</v>
      </c>
      <c r="AA132" s="49">
        <v>0</v>
      </c>
      <c r="AB132" s="49">
        <v>0</v>
      </c>
      <c r="AC132" s="49">
        <v>0</v>
      </c>
      <c r="AD132" s="49">
        <v>63.0775093573216</v>
      </c>
      <c r="AE132" s="49">
        <v>0</v>
      </c>
      <c r="AF132" s="49">
        <v>7.970637321472168</v>
      </c>
      <c r="AG132" s="49">
        <v>71.04814667879377</v>
      </c>
      <c r="AH132" s="49">
        <v>0</v>
      </c>
      <c r="AI132" s="48">
        <v>9999</v>
      </c>
      <c r="AJ132" s="49">
        <v>17.41873550415039</v>
      </c>
      <c r="AK132" s="49">
        <v>0</v>
      </c>
      <c r="AL132" s="49">
        <v>0</v>
      </c>
      <c r="AM132" s="49">
        <v>88.46688079833984</v>
      </c>
      <c r="AN132" s="49">
        <v>0</v>
      </c>
      <c r="AO132" s="48">
        <v>9999</v>
      </c>
    </row>
    <row r="133" spans="1:41" ht="12.75" customHeight="1">
      <c r="A133" t="s">
        <v>439</v>
      </c>
      <c r="B133" t="s">
        <v>412</v>
      </c>
      <c r="C133" s="49">
        <v>18</v>
      </c>
      <c r="D133" s="49">
        <v>3582.869701695641</v>
      </c>
      <c r="E133" s="49">
        <v>900.16</v>
      </c>
      <c r="F133" s="49">
        <v>0.794533569708932</v>
      </c>
      <c r="G133" s="49">
        <v>15.024137496948242</v>
      </c>
      <c r="H133" s="49" t="s">
        <v>178</v>
      </c>
      <c r="I133" s="49">
        <v>0.158</v>
      </c>
      <c r="J133" s="49">
        <v>0.35499998927116394</v>
      </c>
      <c r="K133" s="49">
        <v>3856.0635164499336</v>
      </c>
      <c r="L133" s="60">
        <v>0.9890342371601737</v>
      </c>
      <c r="M133" s="49">
        <v>2.786012019861521</v>
      </c>
      <c r="N133" s="49"/>
      <c r="O133" s="49"/>
      <c r="P133" s="49">
        <v>900.1567920770397</v>
      </c>
      <c r="Q133" s="49">
        <v>0</v>
      </c>
      <c r="R133" s="49">
        <v>0</v>
      </c>
      <c r="S133" s="49">
        <v>9.471877098083496</v>
      </c>
      <c r="T133" s="49">
        <v>0</v>
      </c>
      <c r="U133" s="49">
        <v>0</v>
      </c>
      <c r="V133" s="49">
        <v>900.1567920770397</v>
      </c>
      <c r="W133" s="49">
        <v>24.496014160582135</v>
      </c>
      <c r="X133" s="49">
        <v>924.6528062376218</v>
      </c>
      <c r="Y133" s="49">
        <v>0</v>
      </c>
      <c r="Z133" s="49">
        <v>0</v>
      </c>
      <c r="AA133" s="49">
        <v>19.581687927246094</v>
      </c>
      <c r="AB133" s="49">
        <v>0.532877504825592</v>
      </c>
      <c r="AC133" s="49">
        <v>20.114566161423003</v>
      </c>
      <c r="AD133" s="49">
        <v>1344.0448877903345</v>
      </c>
      <c r="AE133" s="49">
        <v>35.37174027763201</v>
      </c>
      <c r="AF133" s="49">
        <v>201.19493103027344</v>
      </c>
      <c r="AG133" s="49">
        <v>1579.0075895075581</v>
      </c>
      <c r="AH133" s="49">
        <v>900.1567920770397</v>
      </c>
      <c r="AI133" s="48">
        <v>1.7541472812354442</v>
      </c>
      <c r="AJ133" s="49">
        <v>664.2581787109375</v>
      </c>
      <c r="AK133" s="49">
        <v>0</v>
      </c>
      <c r="AL133" s="49">
        <v>0</v>
      </c>
      <c r="AM133" s="49">
        <v>2243.265869140625</v>
      </c>
      <c r="AN133" s="49">
        <v>924.6528062376218</v>
      </c>
      <c r="AO133" s="48">
        <v>2.426062822341919</v>
      </c>
    </row>
    <row r="134" spans="1:41" ht="12.75" customHeight="1">
      <c r="A134" t="s">
        <v>439</v>
      </c>
      <c r="B134" t="s">
        <v>409</v>
      </c>
      <c r="C134" s="49">
        <v>18</v>
      </c>
      <c r="D134" s="49">
        <v>101.08871041512634</v>
      </c>
      <c r="E134" s="49">
        <v>0</v>
      </c>
      <c r="F134" s="49">
        <v>0</v>
      </c>
      <c r="G134" s="49">
        <v>0</v>
      </c>
      <c r="H134" s="49" t="s">
        <v>173</v>
      </c>
      <c r="I134" s="49">
        <v>0.17</v>
      </c>
      <c r="J134" s="49">
        <v>0</v>
      </c>
      <c r="K134" s="49">
        <v>108.79672458427973</v>
      </c>
      <c r="L134" s="60">
        <v>0</v>
      </c>
      <c r="M134" s="49">
        <v>0.07305716128409866</v>
      </c>
      <c r="N134" s="49"/>
      <c r="O134" s="49"/>
      <c r="P134" s="49">
        <v>0</v>
      </c>
      <c r="Q134" s="49">
        <v>0</v>
      </c>
      <c r="R134" s="49">
        <v>0</v>
      </c>
      <c r="S134" s="49">
        <v>0</v>
      </c>
      <c r="T134" s="49">
        <v>0</v>
      </c>
      <c r="U134" s="49">
        <v>0</v>
      </c>
      <c r="V134" s="49">
        <v>0</v>
      </c>
      <c r="W134" s="49">
        <v>0</v>
      </c>
      <c r="X134" s="49">
        <v>0</v>
      </c>
      <c r="Y134" s="49">
        <v>0</v>
      </c>
      <c r="Z134" s="49">
        <v>0</v>
      </c>
      <c r="AA134" s="49">
        <v>0</v>
      </c>
      <c r="AB134" s="49">
        <v>0</v>
      </c>
      <c r="AC134" s="49">
        <v>0</v>
      </c>
      <c r="AD134" s="49">
        <v>63.0775093573216</v>
      </c>
      <c r="AE134" s="49">
        <v>0</v>
      </c>
      <c r="AF134" s="49">
        <v>7.970637321472168</v>
      </c>
      <c r="AG134" s="49">
        <v>71.04814667879377</v>
      </c>
      <c r="AH134" s="49">
        <v>0</v>
      </c>
      <c r="AI134" s="48">
        <v>9999</v>
      </c>
      <c r="AJ134" s="49">
        <v>17.41873550415039</v>
      </c>
      <c r="AK134" s="49">
        <v>0</v>
      </c>
      <c r="AL134" s="49">
        <v>0</v>
      </c>
      <c r="AM134" s="49">
        <v>88.46688079833984</v>
      </c>
      <c r="AN134" s="49">
        <v>0</v>
      </c>
      <c r="AO134" s="48">
        <v>9999</v>
      </c>
    </row>
    <row r="135" spans="1:41" ht="12.75" customHeight="1">
      <c r="A135" t="s">
        <v>440</v>
      </c>
      <c r="B135" t="s">
        <v>412</v>
      </c>
      <c r="C135" s="49">
        <v>18</v>
      </c>
      <c r="D135" s="49">
        <v>3582.869701695641</v>
      </c>
      <c r="E135" s="49">
        <v>900.16</v>
      </c>
      <c r="F135" s="49">
        <v>0.794533569708932</v>
      </c>
      <c r="G135" s="49">
        <v>15.024137496948242</v>
      </c>
      <c r="H135" s="49" t="s">
        <v>178</v>
      </c>
      <c r="I135" s="49">
        <v>0.158</v>
      </c>
      <c r="J135" s="49">
        <v>0.35499998927116394</v>
      </c>
      <c r="K135" s="49">
        <v>3856.0635164499336</v>
      </c>
      <c r="L135" s="60">
        <v>0.9890342371601737</v>
      </c>
      <c r="M135" s="49">
        <v>2.786012019861521</v>
      </c>
      <c r="N135" s="49"/>
      <c r="O135" s="49"/>
      <c r="P135" s="49">
        <v>900.1567920770397</v>
      </c>
      <c r="Q135" s="49">
        <v>0</v>
      </c>
      <c r="R135" s="49">
        <v>0</v>
      </c>
      <c r="S135" s="49">
        <v>9.471877098083496</v>
      </c>
      <c r="T135" s="49">
        <v>0</v>
      </c>
      <c r="U135" s="49">
        <v>0</v>
      </c>
      <c r="V135" s="49">
        <v>900.1567920770397</v>
      </c>
      <c r="W135" s="49">
        <v>24.496014160582135</v>
      </c>
      <c r="X135" s="49">
        <v>924.6528062376218</v>
      </c>
      <c r="Y135" s="49">
        <v>0</v>
      </c>
      <c r="Z135" s="49">
        <v>0</v>
      </c>
      <c r="AA135" s="49">
        <v>19.581687927246094</v>
      </c>
      <c r="AB135" s="49">
        <v>0.532877504825592</v>
      </c>
      <c r="AC135" s="49">
        <v>20.114566161423003</v>
      </c>
      <c r="AD135" s="49">
        <v>1344.0448877903345</v>
      </c>
      <c r="AE135" s="49">
        <v>35.37174027763201</v>
      </c>
      <c r="AF135" s="49">
        <v>201.19493103027344</v>
      </c>
      <c r="AG135" s="49">
        <v>1579.0075895075581</v>
      </c>
      <c r="AH135" s="49">
        <v>900.1567920770397</v>
      </c>
      <c r="AI135" s="48">
        <v>1.7541472812354442</v>
      </c>
      <c r="AJ135" s="49">
        <v>664.2581787109375</v>
      </c>
      <c r="AK135" s="49">
        <v>0</v>
      </c>
      <c r="AL135" s="49">
        <v>0</v>
      </c>
      <c r="AM135" s="49">
        <v>2243.265869140625</v>
      </c>
      <c r="AN135" s="49">
        <v>924.6528062376218</v>
      </c>
      <c r="AO135" s="48">
        <v>2.426062822341919</v>
      </c>
    </row>
    <row r="136" spans="1:41" ht="12.75" customHeight="1">
      <c r="A136" t="s">
        <v>440</v>
      </c>
      <c r="B136" t="s">
        <v>411</v>
      </c>
      <c r="C136" s="49">
        <v>18</v>
      </c>
      <c r="D136" s="49">
        <v>214.66952066058445</v>
      </c>
      <c r="E136" s="49">
        <v>0</v>
      </c>
      <c r="F136" s="49">
        <v>0</v>
      </c>
      <c r="G136" s="49">
        <v>0</v>
      </c>
      <c r="H136" s="49" t="s">
        <v>174</v>
      </c>
      <c r="I136" s="49">
        <v>0.17</v>
      </c>
      <c r="J136" s="49">
        <v>0</v>
      </c>
      <c r="K136" s="49">
        <v>231.038071610954</v>
      </c>
      <c r="L136" s="60">
        <v>0</v>
      </c>
      <c r="M136" s="49">
        <v>0.15514240640004967</v>
      </c>
      <c r="N136" s="49"/>
      <c r="O136" s="49"/>
      <c r="P136" s="49">
        <v>0</v>
      </c>
      <c r="Q136" s="49">
        <v>0</v>
      </c>
      <c r="R136" s="49">
        <v>0</v>
      </c>
      <c r="S136" s="49">
        <v>0</v>
      </c>
      <c r="T136" s="49">
        <v>0</v>
      </c>
      <c r="U136" s="49">
        <v>0</v>
      </c>
      <c r="V136" s="49">
        <v>0</v>
      </c>
      <c r="W136" s="49">
        <v>0</v>
      </c>
      <c r="X136" s="49">
        <v>0</v>
      </c>
      <c r="Y136" s="49">
        <v>0</v>
      </c>
      <c r="Z136" s="49">
        <v>0</v>
      </c>
      <c r="AA136" s="49">
        <v>0</v>
      </c>
      <c r="AB136" s="49">
        <v>0</v>
      </c>
      <c r="AC136" s="49">
        <v>0</v>
      </c>
      <c r="AD136" s="49">
        <v>140.2110170668944</v>
      </c>
      <c r="AE136" s="49">
        <v>0</v>
      </c>
      <c r="AF136" s="49">
        <v>17.552366256713867</v>
      </c>
      <c r="AG136" s="49">
        <v>157.76338332360828</v>
      </c>
      <c r="AH136" s="49">
        <v>0</v>
      </c>
      <c r="AI136" s="48">
        <v>9999</v>
      </c>
      <c r="AJ136" s="49">
        <v>36.9900016784668</v>
      </c>
      <c r="AK136" s="49">
        <v>0</v>
      </c>
      <c r="AL136" s="49">
        <v>0</v>
      </c>
      <c r="AM136" s="49">
        <v>194.75338745117188</v>
      </c>
      <c r="AN136" s="49">
        <v>0</v>
      </c>
      <c r="AO136" s="48">
        <v>9999</v>
      </c>
    </row>
    <row r="137" spans="1:41" ht="12.75" customHeight="1">
      <c r="A137"/>
      <c r="B137"/>
      <c r="C137" s="49"/>
      <c r="D137" s="49"/>
      <c r="E137" s="49"/>
      <c r="F137" s="49"/>
      <c r="G137" s="49"/>
      <c r="H137" s="49"/>
      <c r="I137" s="49"/>
      <c r="J137" s="49"/>
      <c r="K137" s="49"/>
      <c r="L137" s="60"/>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61"/>
    </row>
    <row r="138" spans="1:41" ht="12.75" customHeight="1" thickBo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thickBot="1">
      <c r="A139" s="62" t="s">
        <v>129</v>
      </c>
      <c r="B139" s="71"/>
      <c r="C139" s="72" t="s">
        <v>101</v>
      </c>
      <c r="D139" s="63"/>
      <c r="E139" s="63"/>
      <c r="F139" s="63"/>
      <c r="G139" s="63"/>
      <c r="H139" s="63"/>
      <c r="I139" s="63"/>
      <c r="J139" s="64"/>
      <c r="K139" s="72" t="s">
        <v>45</v>
      </c>
      <c r="L139" s="63"/>
      <c r="M139" s="64"/>
      <c r="N139" s="72" t="s">
        <v>102</v>
      </c>
      <c r="O139" s="63"/>
      <c r="P139" s="63"/>
      <c r="Q139" s="63"/>
      <c r="R139" s="73" t="s">
        <v>103</v>
      </c>
      <c r="S139" s="72" t="s">
        <v>79</v>
      </c>
      <c r="T139" s="63"/>
      <c r="U139" s="63"/>
      <c r="V139" s="63"/>
      <c r="W139" s="63"/>
      <c r="X139" s="64"/>
      <c r="Y139" s="72" t="s">
        <v>80</v>
      </c>
      <c r="Z139" s="63"/>
      <c r="AA139" s="63"/>
      <c r="AB139" s="63"/>
      <c r="AC139" s="63"/>
      <c r="AD139" s="64"/>
      <c r="AE139" s="49"/>
      <c r="AF139" s="49"/>
      <c r="AG139" s="49"/>
      <c r="AH139" s="49"/>
      <c r="AI139" s="49"/>
      <c r="AJ139" s="49"/>
      <c r="AK139" s="49"/>
      <c r="AL139" s="49"/>
      <c r="AM139" s="49"/>
      <c r="AN139" s="49"/>
      <c r="AO139" s="49"/>
    </row>
    <row r="140" spans="1:41" ht="51">
      <c r="A140" s="57"/>
      <c r="B140" s="58" t="s">
        <v>51</v>
      </c>
      <c r="C140" s="59" t="s">
        <v>104</v>
      </c>
      <c r="D140" s="59" t="s">
        <v>82</v>
      </c>
      <c r="E140" s="59" t="s">
        <v>83</v>
      </c>
      <c r="F140" s="59" t="s">
        <v>84</v>
      </c>
      <c r="G140" s="59" t="s">
        <v>85</v>
      </c>
      <c r="H140" s="59" t="s">
        <v>86</v>
      </c>
      <c r="I140" s="59" t="s">
        <v>105</v>
      </c>
      <c r="J140" s="59" t="s">
        <v>106</v>
      </c>
      <c r="K140" s="59" t="s">
        <v>89</v>
      </c>
      <c r="L140" s="59" t="s">
        <v>90</v>
      </c>
      <c r="M140" s="59" t="s">
        <v>91</v>
      </c>
      <c r="N140" s="59" t="s">
        <v>46</v>
      </c>
      <c r="O140" s="59" t="s">
        <v>107</v>
      </c>
      <c r="P140" s="59" t="s">
        <v>108</v>
      </c>
      <c r="Q140" s="59" t="s">
        <v>109</v>
      </c>
      <c r="R140" s="59" t="s">
        <v>110</v>
      </c>
      <c r="S140" s="59" t="s">
        <v>92</v>
      </c>
      <c r="T140" s="59" t="s">
        <v>93</v>
      </c>
      <c r="U140" s="59" t="s">
        <v>56</v>
      </c>
      <c r="V140" s="59" t="s">
        <v>94</v>
      </c>
      <c r="W140" s="59" t="s">
        <v>95</v>
      </c>
      <c r="X140" s="59" t="s">
        <v>96</v>
      </c>
      <c r="Y140" s="59" t="s">
        <v>97</v>
      </c>
      <c r="Z140" s="59" t="s">
        <v>54</v>
      </c>
      <c r="AA140" s="59" t="s">
        <v>55</v>
      </c>
      <c r="AB140" s="59" t="s">
        <v>98</v>
      </c>
      <c r="AC140" s="59" t="s">
        <v>99</v>
      </c>
      <c r="AD140" s="59" t="s">
        <v>100</v>
      </c>
      <c r="AE140" s="49"/>
      <c r="AF140" s="49"/>
      <c r="AG140" s="49"/>
      <c r="AH140" s="49"/>
      <c r="AI140" s="49"/>
      <c r="AJ140" s="49"/>
      <c r="AK140" s="49"/>
      <c r="AL140" s="49"/>
      <c r="AM140" s="49"/>
      <c r="AN140" s="49"/>
      <c r="AO140" s="49"/>
    </row>
    <row r="141" spans="1:41" ht="12.75" customHeight="1">
      <c r="A141"/>
      <c r="B141" t="s">
        <v>425</v>
      </c>
      <c r="C141" s="49">
        <v>18</v>
      </c>
      <c r="D141" s="49">
        <v>6045.522788761569</v>
      </c>
      <c r="E141" s="49">
        <v>900.16</v>
      </c>
      <c r="F141" s="49">
        <v>0.794533569708932</v>
      </c>
      <c r="G141" s="49">
        <v>15.024137496948242</v>
      </c>
      <c r="H141" s="49"/>
      <c r="I141" s="49">
        <v>0.1592800428256396</v>
      </c>
      <c r="J141" s="49">
        <v>0.31713205575942993</v>
      </c>
      <c r="K141" s="49">
        <v>6506.493901404639</v>
      </c>
      <c r="L141" s="49">
        <v>1.4908226357318852</v>
      </c>
      <c r="M141" s="49">
        <v>4.665555477142334</v>
      </c>
      <c r="N141" s="49">
        <v>900.1567920770397</v>
      </c>
      <c r="O141" s="49">
        <v>9.471877098083496</v>
      </c>
      <c r="P141" s="49">
        <v>15.024137496948242</v>
      </c>
      <c r="Q141" s="49">
        <v>924.65283203125</v>
      </c>
      <c r="R141" s="49">
        <v>11.920866510433038</v>
      </c>
      <c r="S141" s="49">
        <v>2499.9238741275385</v>
      </c>
      <c r="T141" s="49">
        <v>53.31766128540039</v>
      </c>
      <c r="U141" s="49">
        <v>361.27716064453125</v>
      </c>
      <c r="V141" s="49">
        <v>2912.100944233232</v>
      </c>
      <c r="W141" s="49">
        <v>900.1567920770397</v>
      </c>
      <c r="X141" s="48">
        <v>3.2351041172658292</v>
      </c>
      <c r="Y141" s="60">
        <v>1112.3902587890625</v>
      </c>
      <c r="Z141" s="60">
        <v>0</v>
      </c>
      <c r="AA141" s="60">
        <v>0</v>
      </c>
      <c r="AB141" s="60">
        <v>4024.4912109375</v>
      </c>
      <c r="AC141" s="60">
        <v>924.65283203125</v>
      </c>
      <c r="AD141" s="48">
        <v>4.3524346351623535</v>
      </c>
      <c r="AE141" s="60"/>
      <c r="AF141" s="60"/>
      <c r="AG141" s="60"/>
      <c r="AH141" s="60"/>
      <c r="AI141" s="60"/>
      <c r="AJ141" s="60"/>
      <c r="AK141" s="60"/>
      <c r="AL141" s="49"/>
      <c r="AM141" s="49"/>
      <c r="AN141" s="49"/>
      <c r="AO141" s="49"/>
    </row>
    <row r="142" spans="1:41" ht="12.75" customHeight="1">
      <c r="A142"/>
      <c r="B142" t="s">
        <v>431</v>
      </c>
      <c r="C142" s="49">
        <v>18</v>
      </c>
      <c r="D142" s="49">
        <v>5711.151014645784</v>
      </c>
      <c r="E142" s="49">
        <v>900.16</v>
      </c>
      <c r="F142" s="49">
        <v>0.794533569708932</v>
      </c>
      <c r="G142" s="49">
        <v>15.024137496948242</v>
      </c>
      <c r="H142" s="49"/>
      <c r="I142" s="49">
        <v>0.1586524195865335</v>
      </c>
      <c r="J142" s="49">
        <v>0.33569926023483276</v>
      </c>
      <c r="K142" s="49">
        <v>6146.626279512524</v>
      </c>
      <c r="L142" s="49">
        <v>1.4908226357318852</v>
      </c>
      <c r="M142" s="49">
        <v>4.423903942108154</v>
      </c>
      <c r="N142" s="49">
        <v>900.1567920770397</v>
      </c>
      <c r="O142" s="49">
        <v>9.471877098083496</v>
      </c>
      <c r="P142" s="49">
        <v>15.024137496948242</v>
      </c>
      <c r="Q142" s="49">
        <v>924.65283203125</v>
      </c>
      <c r="R142" s="49">
        <v>12.618799602005854</v>
      </c>
      <c r="S142" s="49">
        <v>2228.754774007032</v>
      </c>
      <c r="T142" s="49">
        <v>53.31766128540039</v>
      </c>
      <c r="U142" s="49">
        <v>328.659912109375</v>
      </c>
      <c r="V142" s="49">
        <v>2608.31459557757</v>
      </c>
      <c r="W142" s="49">
        <v>900.1567920770397</v>
      </c>
      <c r="X142" s="48">
        <v>2.8976225236928923</v>
      </c>
      <c r="Y142" s="60">
        <v>1054.774169921875</v>
      </c>
      <c r="Z142" s="60">
        <v>0</v>
      </c>
      <c r="AA142" s="60">
        <v>0</v>
      </c>
      <c r="AB142" s="60">
        <v>3663.0888671875</v>
      </c>
      <c r="AC142" s="60">
        <v>924.65283203125</v>
      </c>
      <c r="AD142" s="48">
        <v>3.961582899093628</v>
      </c>
      <c r="AE142" s="60"/>
      <c r="AF142" s="60"/>
      <c r="AG142" s="60"/>
      <c r="AH142" s="60"/>
      <c r="AI142" s="60"/>
      <c r="AJ142" s="60"/>
      <c r="AK142" s="60"/>
      <c r="AL142" s="49"/>
      <c r="AM142" s="49"/>
      <c r="AN142" s="49"/>
      <c r="AO142" s="49"/>
    </row>
    <row r="143" spans="1:41" ht="12.75" customHeight="1">
      <c r="A143"/>
      <c r="B143" t="s">
        <v>430</v>
      </c>
      <c r="C143" s="49">
        <v>18</v>
      </c>
      <c r="D143" s="49">
        <v>5555.529950746838</v>
      </c>
      <c r="E143" s="49">
        <v>900.16</v>
      </c>
      <c r="F143" s="49">
        <v>0.794533569708932</v>
      </c>
      <c r="G143" s="49">
        <v>15.024137496948242</v>
      </c>
      <c r="H143" s="49"/>
      <c r="I143" s="49">
        <v>0.15833455206493277</v>
      </c>
      <c r="J143" s="49">
        <v>0.34510284662246704</v>
      </c>
      <c r="K143" s="49">
        <v>5979.139109491284</v>
      </c>
      <c r="L143" s="49">
        <v>1.4908226357318852</v>
      </c>
      <c r="M143" s="49">
        <v>4.311436176300049</v>
      </c>
      <c r="N143" s="49">
        <v>900.1567920770397</v>
      </c>
      <c r="O143" s="49">
        <v>9.471877098083496</v>
      </c>
      <c r="P143" s="49">
        <v>15.024137496948242</v>
      </c>
      <c r="Q143" s="49">
        <v>924.65283203125</v>
      </c>
      <c r="R143" s="49">
        <v>12.972276414587474</v>
      </c>
      <c r="S143" s="49">
        <v>2122.5937147751642</v>
      </c>
      <c r="T143" s="49">
        <v>53.31766128540039</v>
      </c>
      <c r="U143" s="49">
        <v>315.4838562011719</v>
      </c>
      <c r="V143" s="49">
        <v>2488.9774985573104</v>
      </c>
      <c r="W143" s="49">
        <v>900.1567920770397</v>
      </c>
      <c r="X143" s="48">
        <v>2.7650488453397037</v>
      </c>
      <c r="Y143" s="60">
        <v>1027.958984375</v>
      </c>
      <c r="Z143" s="60">
        <v>0</v>
      </c>
      <c r="AA143" s="60">
        <v>0</v>
      </c>
      <c r="AB143" s="60">
        <v>3516.9365234375</v>
      </c>
      <c r="AC143" s="60">
        <v>924.65283203125</v>
      </c>
      <c r="AD143" s="48">
        <v>3.803521156311035</v>
      </c>
      <c r="AE143" s="60"/>
      <c r="AF143" s="60"/>
      <c r="AG143" s="60"/>
      <c r="AH143" s="60"/>
      <c r="AI143" s="60"/>
      <c r="AJ143" s="60"/>
      <c r="AK143" s="60"/>
      <c r="AL143" s="49"/>
      <c r="AM143" s="49"/>
      <c r="AN143" s="49"/>
      <c r="AO143" s="49"/>
    </row>
    <row r="144" spans="1:41" ht="12.75" customHeight="1">
      <c r="A144"/>
      <c r="B144" t="s">
        <v>428</v>
      </c>
      <c r="C144" s="49">
        <v>18</v>
      </c>
      <c r="D144" s="49">
        <v>4908.366517515091</v>
      </c>
      <c r="E144" s="49">
        <v>900.16</v>
      </c>
      <c r="F144" s="49">
        <v>0.794533569708932</v>
      </c>
      <c r="G144" s="49">
        <v>15.024137496948242</v>
      </c>
      <c r="H144" s="49"/>
      <c r="I144" s="49">
        <v>0.15957659947466857</v>
      </c>
      <c r="J144" s="49">
        <v>0.30835890769958496</v>
      </c>
      <c r="K144" s="49">
        <v>5282.629464475616</v>
      </c>
      <c r="L144" s="49">
        <v>1.1769160248573969</v>
      </c>
      <c r="M144" s="49">
        <v>3.7813117504119873</v>
      </c>
      <c r="N144" s="49">
        <v>900.1567920770397</v>
      </c>
      <c r="O144" s="49">
        <v>9.471877098083496</v>
      </c>
      <c r="P144" s="49">
        <v>15.024137496948242</v>
      </c>
      <c r="Q144" s="49">
        <v>924.65283203125</v>
      </c>
      <c r="R144" s="49">
        <v>14.68265865913628</v>
      </c>
      <c r="S144" s="49">
        <v>2055.987674804627</v>
      </c>
      <c r="T144" s="49">
        <v>42.091129302978516</v>
      </c>
      <c r="U144" s="49">
        <v>295.68511962890625</v>
      </c>
      <c r="V144" s="49">
        <v>2391.855252410344</v>
      </c>
      <c r="W144" s="49">
        <v>900.1567920770397</v>
      </c>
      <c r="X144" s="48">
        <v>2.6571540352334946</v>
      </c>
      <c r="Y144" s="60">
        <v>901.5633544921875</v>
      </c>
      <c r="Z144" s="60">
        <v>0</v>
      </c>
      <c r="AA144" s="60">
        <v>0</v>
      </c>
      <c r="AB144" s="60">
        <v>3293.418701171875</v>
      </c>
      <c r="AC144" s="60">
        <v>924.65283203125</v>
      </c>
      <c r="AD144" s="48">
        <v>3.5617895126342773</v>
      </c>
      <c r="AE144" s="60"/>
      <c r="AF144" s="60"/>
      <c r="AG144" s="60"/>
      <c r="AH144" s="60"/>
      <c r="AI144" s="60"/>
      <c r="AJ144" s="60"/>
      <c r="AK144" s="60"/>
      <c r="AL144" s="49"/>
      <c r="AM144" s="49"/>
      <c r="AN144" s="49"/>
      <c r="AO144" s="49"/>
    </row>
    <row r="145" spans="1:41" ht="12.75" customHeight="1">
      <c r="A145"/>
      <c r="B145" t="s">
        <v>416</v>
      </c>
      <c r="C145" s="49">
        <v>18</v>
      </c>
      <c r="D145" s="49">
        <v>4808.293624736696</v>
      </c>
      <c r="E145" s="49">
        <v>900.16</v>
      </c>
      <c r="F145" s="49">
        <v>0.794533569708932</v>
      </c>
      <c r="G145" s="49">
        <v>15.024137496948242</v>
      </c>
      <c r="H145" s="49"/>
      <c r="I145" s="49">
        <v>0.15950698457913604</v>
      </c>
      <c r="J145" s="49">
        <v>0.31041836738586426</v>
      </c>
      <c r="K145" s="49">
        <v>5174.926013622869</v>
      </c>
      <c r="L145" s="49">
        <v>1.1606208198287602</v>
      </c>
      <c r="M145" s="49">
        <v>3.7057485580444336</v>
      </c>
      <c r="N145" s="49">
        <v>900.1567920770397</v>
      </c>
      <c r="O145" s="49">
        <v>9.471877098083496</v>
      </c>
      <c r="P145" s="49">
        <v>15.024137496948242</v>
      </c>
      <c r="Q145" s="49">
        <v>924.65283203125</v>
      </c>
      <c r="R145" s="49">
        <v>14.988242352723207</v>
      </c>
      <c r="S145" s="49">
        <v>2021.0319376421498</v>
      </c>
      <c r="T145" s="49">
        <v>41.50835037231445</v>
      </c>
      <c r="U145" s="49">
        <v>290.41400146484375</v>
      </c>
      <c r="V145" s="49">
        <v>2351.0720396808993</v>
      </c>
      <c r="W145" s="49">
        <v>900.1567920770397</v>
      </c>
      <c r="X145" s="48">
        <v>2.6118472474733974</v>
      </c>
      <c r="Y145" s="60">
        <v>883.5473022460938</v>
      </c>
      <c r="Z145" s="60">
        <v>0</v>
      </c>
      <c r="AA145" s="60">
        <v>0</v>
      </c>
      <c r="AB145" s="60">
        <v>3234.619384765625</v>
      </c>
      <c r="AC145" s="60">
        <v>924.65283203125</v>
      </c>
      <c r="AD145" s="48">
        <v>3.4981987476348877</v>
      </c>
      <c r="AE145" s="60"/>
      <c r="AF145" s="60"/>
      <c r="AG145" s="60"/>
      <c r="AH145" s="60"/>
      <c r="AI145" s="60"/>
      <c r="AJ145" s="60"/>
      <c r="AK145" s="60"/>
      <c r="AL145" s="49"/>
      <c r="AM145" s="49"/>
      <c r="AN145" s="49"/>
      <c r="AO145" s="49"/>
    </row>
    <row r="146" spans="1:41" ht="12.75" customHeight="1">
      <c r="A146"/>
      <c r="B146" t="s">
        <v>422</v>
      </c>
      <c r="C146" s="49">
        <v>18</v>
      </c>
      <c r="D146" s="49">
        <v>4581.594365827886</v>
      </c>
      <c r="E146" s="49">
        <v>900.16</v>
      </c>
      <c r="F146" s="49">
        <v>0.794533569708932</v>
      </c>
      <c r="G146" s="49">
        <v>15.024137496948242</v>
      </c>
      <c r="H146" s="49"/>
      <c r="I146" s="49">
        <v>0.15898778566502642</v>
      </c>
      <c r="J146" s="49">
        <v>0.3257780075073242</v>
      </c>
      <c r="K146" s="49">
        <v>4930.940936222262</v>
      </c>
      <c r="L146" s="49">
        <v>1.1606208198287602</v>
      </c>
      <c r="M146" s="49">
        <v>3.541912078857422</v>
      </c>
      <c r="N146" s="49">
        <v>900.1567920770397</v>
      </c>
      <c r="O146" s="49">
        <v>9.471877098083496</v>
      </c>
      <c r="P146" s="49">
        <v>15.024137496948242</v>
      </c>
      <c r="Q146" s="49">
        <v>924.65283203125</v>
      </c>
      <c r="R146" s="49">
        <v>15.729867027978369</v>
      </c>
      <c r="S146" s="49">
        <v>1823.5476986323367</v>
      </c>
      <c r="T146" s="49">
        <v>41.50835037231445</v>
      </c>
      <c r="U146" s="49">
        <v>266.9364318847656</v>
      </c>
      <c r="V146" s="49">
        <v>2130.1102253689623</v>
      </c>
      <c r="W146" s="49">
        <v>900.1567920770397</v>
      </c>
      <c r="X146" s="48">
        <v>2.366376884691281</v>
      </c>
      <c r="Y146" s="60">
        <v>844.4844360351562</v>
      </c>
      <c r="Z146" s="60">
        <v>0</v>
      </c>
      <c r="AA146" s="60">
        <v>0</v>
      </c>
      <c r="AB146" s="60">
        <v>2974.5947265625</v>
      </c>
      <c r="AC146" s="60">
        <v>924.65283203125</v>
      </c>
      <c r="AD146" s="48">
        <v>3.2169854640960693</v>
      </c>
      <c r="AE146" s="60"/>
      <c r="AF146" s="60"/>
      <c r="AG146" s="60"/>
      <c r="AH146" s="60"/>
      <c r="AI146" s="60"/>
      <c r="AJ146" s="60"/>
      <c r="AK146" s="60"/>
      <c r="AL146" s="49"/>
      <c r="AM146" s="49"/>
      <c r="AN146" s="49"/>
      <c r="AO146" s="49"/>
    </row>
    <row r="147" spans="1:41" ht="12.75" customHeight="1">
      <c r="A147"/>
      <c r="B147" t="s">
        <v>424</v>
      </c>
      <c r="C147" s="49">
        <v>18</v>
      </c>
      <c r="D147" s="49">
        <v>4573.994743399306</v>
      </c>
      <c r="E147" s="49">
        <v>900.16</v>
      </c>
      <c r="F147" s="49">
        <v>0.794533569708932</v>
      </c>
      <c r="G147" s="49">
        <v>15.024137496948242</v>
      </c>
      <c r="H147" s="49"/>
      <c r="I147" s="49">
        <v>0.15881461982198003</v>
      </c>
      <c r="J147" s="49">
        <v>0.33090081810951233</v>
      </c>
      <c r="K147" s="49">
        <v>4922.761842583502</v>
      </c>
      <c r="L147" s="49">
        <v>1.1769160248573969</v>
      </c>
      <c r="M147" s="49">
        <v>3.5396599769592285</v>
      </c>
      <c r="N147" s="49">
        <v>900.1567920770397</v>
      </c>
      <c r="O147" s="49">
        <v>9.471877098083496</v>
      </c>
      <c r="P147" s="49">
        <v>15.024137496948242</v>
      </c>
      <c r="Q147" s="49">
        <v>924.65283203125</v>
      </c>
      <c r="R147" s="49">
        <v>15.75600196187547</v>
      </c>
      <c r="S147" s="49">
        <v>1784.8185746841214</v>
      </c>
      <c r="T147" s="49">
        <v>42.091129302978516</v>
      </c>
      <c r="U147" s="49">
        <v>263.06787109375</v>
      </c>
      <c r="V147" s="49">
        <v>2088.0689037546813</v>
      </c>
      <c r="W147" s="49">
        <v>900.1567920770397</v>
      </c>
      <c r="X147" s="48">
        <v>2.3196724416605576</v>
      </c>
      <c r="Y147" s="60">
        <v>843.9473266601562</v>
      </c>
      <c r="Z147" s="60">
        <v>0</v>
      </c>
      <c r="AA147" s="60">
        <v>0</v>
      </c>
      <c r="AB147" s="60">
        <v>2932.01611328125</v>
      </c>
      <c r="AC147" s="60">
        <v>924.65283203125</v>
      </c>
      <c r="AD147" s="48">
        <v>3.1709372997283936</v>
      </c>
      <c r="AE147" s="60"/>
      <c r="AF147" s="60"/>
      <c r="AG147" s="60"/>
      <c r="AH147" s="60"/>
      <c r="AI147" s="60"/>
      <c r="AJ147" s="60"/>
      <c r="AK147" s="60"/>
      <c r="AL147" s="49"/>
      <c r="AM147" s="49"/>
      <c r="AN147" s="49"/>
      <c r="AO147" s="49"/>
    </row>
    <row r="148" spans="1:41" ht="12.75" customHeight="1">
      <c r="A148"/>
      <c r="B148" t="s">
        <v>421</v>
      </c>
      <c r="C148" s="49">
        <v>18</v>
      </c>
      <c r="D148" s="49">
        <v>4412.025049806351</v>
      </c>
      <c r="E148" s="49">
        <v>900.16</v>
      </c>
      <c r="F148" s="49">
        <v>0.794533569708932</v>
      </c>
      <c r="G148" s="49">
        <v>15.024137496948242</v>
      </c>
      <c r="H148" s="49"/>
      <c r="I148" s="49">
        <v>0.15856454834620248</v>
      </c>
      <c r="J148" s="49">
        <v>0.3382987678050995</v>
      </c>
      <c r="K148" s="49">
        <v>4748.441959854085</v>
      </c>
      <c r="L148" s="49">
        <v>1.1606208198287602</v>
      </c>
      <c r="M148" s="49">
        <v>3.4193637371063232</v>
      </c>
      <c r="N148" s="49">
        <v>900.1567920770397</v>
      </c>
      <c r="O148" s="49">
        <v>9.471877098083496</v>
      </c>
      <c r="P148" s="49">
        <v>15.024137496948242</v>
      </c>
      <c r="Q148" s="49">
        <v>924.65283203125</v>
      </c>
      <c r="R148" s="49">
        <v>16.334419985618776</v>
      </c>
      <c r="S148" s="49">
        <v>1706.739805943867</v>
      </c>
      <c r="T148" s="49">
        <v>41.50835037231445</v>
      </c>
      <c r="U148" s="49">
        <v>252.46624755859375</v>
      </c>
      <c r="V148" s="49">
        <v>1998.8321655204581</v>
      </c>
      <c r="W148" s="49">
        <v>900.1567920770397</v>
      </c>
      <c r="X148" s="48">
        <v>2.2205377808773883</v>
      </c>
      <c r="Y148" s="60">
        <v>815.2656860351562</v>
      </c>
      <c r="Z148" s="60">
        <v>0</v>
      </c>
      <c r="AA148" s="60">
        <v>0</v>
      </c>
      <c r="AB148" s="60">
        <v>2814.097900390625</v>
      </c>
      <c r="AC148" s="60">
        <v>924.65283203125</v>
      </c>
      <c r="AD148" s="48">
        <v>3.043410301208496</v>
      </c>
      <c r="AE148" s="60"/>
      <c r="AF148" s="60"/>
      <c r="AG148" s="60"/>
      <c r="AH148" s="60"/>
      <c r="AI148" s="60"/>
      <c r="AJ148" s="60"/>
      <c r="AK148" s="60"/>
      <c r="AL148" s="49"/>
      <c r="AM148" s="49"/>
      <c r="AN148" s="49"/>
      <c r="AO148" s="49"/>
    </row>
    <row r="149" spans="1:41" ht="12.75" customHeight="1">
      <c r="A149"/>
      <c r="B149" t="s">
        <v>429</v>
      </c>
      <c r="C149" s="49">
        <v>18</v>
      </c>
      <c r="D149" s="49">
        <v>4418.37367950036</v>
      </c>
      <c r="E149" s="49">
        <v>900.16</v>
      </c>
      <c r="F149" s="49">
        <v>0.794533569708932</v>
      </c>
      <c r="G149" s="49">
        <v>15.024137496948242</v>
      </c>
      <c r="H149" s="49"/>
      <c r="I149" s="49">
        <v>0.15842065568728186</v>
      </c>
      <c r="J149" s="49">
        <v>0.34255558252334595</v>
      </c>
      <c r="K149" s="49">
        <v>4755.274672562262</v>
      </c>
      <c r="L149" s="49">
        <v>1.1769160248573969</v>
      </c>
      <c r="M149" s="49">
        <v>3.427192211151123</v>
      </c>
      <c r="N149" s="49">
        <v>900.1567920770397</v>
      </c>
      <c r="O149" s="49">
        <v>9.471877098083496</v>
      </c>
      <c r="P149" s="49">
        <v>15.024137496948242</v>
      </c>
      <c r="Q149" s="49">
        <v>924.65283203125</v>
      </c>
      <c r="R149" s="49">
        <v>16.310949543488395</v>
      </c>
      <c r="S149" s="49">
        <v>1678.657515452253</v>
      </c>
      <c r="T149" s="49">
        <v>42.091129302978516</v>
      </c>
      <c r="U149" s="49">
        <v>249.89183044433594</v>
      </c>
      <c r="V149" s="49">
        <v>1968.731806734422</v>
      </c>
      <c r="W149" s="49">
        <v>900.1567920770397</v>
      </c>
      <c r="X149" s="48">
        <v>2.187098763307369</v>
      </c>
      <c r="Y149" s="60">
        <v>817.1320190429688</v>
      </c>
      <c r="Z149" s="60">
        <v>0</v>
      </c>
      <c r="AA149" s="60">
        <v>0</v>
      </c>
      <c r="AB149" s="60">
        <v>2785.86376953125</v>
      </c>
      <c r="AC149" s="60">
        <v>924.65283203125</v>
      </c>
      <c r="AD149" s="48">
        <v>3.0128753185272217</v>
      </c>
      <c r="AE149" s="60"/>
      <c r="AF149" s="60"/>
      <c r="AG149" s="60"/>
      <c r="AH149" s="60"/>
      <c r="AI149" s="60"/>
      <c r="AJ149" s="60"/>
      <c r="AK149" s="60"/>
      <c r="AL149" s="49"/>
      <c r="AM149" s="49"/>
      <c r="AN149" s="49"/>
      <c r="AO149" s="49"/>
    </row>
    <row r="150" spans="1:41" ht="12.75" customHeight="1">
      <c r="A150"/>
      <c r="B150" t="s">
        <v>434</v>
      </c>
      <c r="C150" s="49">
        <v>18</v>
      </c>
      <c r="D150" s="49">
        <v>4040.6322884995343</v>
      </c>
      <c r="E150" s="49">
        <v>900.16</v>
      </c>
      <c r="F150" s="49">
        <v>0.794533569708932</v>
      </c>
      <c r="G150" s="49">
        <v>15.024137496948242</v>
      </c>
      <c r="H150" s="49"/>
      <c r="I150" s="49">
        <v>0.15935947808398238</v>
      </c>
      <c r="J150" s="49">
        <v>0.3147820830345154</v>
      </c>
      <c r="K150" s="49">
        <v>4348.730500497623</v>
      </c>
      <c r="L150" s="49">
        <v>0.9890342371601737</v>
      </c>
      <c r="M150" s="49">
        <v>3.1168384552001953</v>
      </c>
      <c r="N150" s="49">
        <v>900.1567920770397</v>
      </c>
      <c r="O150" s="49">
        <v>9.471877098083496</v>
      </c>
      <c r="P150" s="49">
        <v>15.024137496948242</v>
      </c>
      <c r="Q150" s="49">
        <v>924.65283203125</v>
      </c>
      <c r="R150" s="49">
        <v>17.835790293446752</v>
      </c>
      <c r="S150" s="49">
        <v>1680.4935855661092</v>
      </c>
      <c r="T150" s="49">
        <v>35.37173843383789</v>
      </c>
      <c r="U150" s="49">
        <v>242.36988830566406</v>
      </c>
      <c r="V150" s="49">
        <v>1956.6312483734207</v>
      </c>
      <c r="W150" s="49">
        <v>900.1567920770397</v>
      </c>
      <c r="X150" s="48">
        <v>2.1736560403645355</v>
      </c>
      <c r="Y150" s="60">
        <v>743.1358642578125</v>
      </c>
      <c r="Z150" s="60">
        <v>0</v>
      </c>
      <c r="AA150" s="60">
        <v>0</v>
      </c>
      <c r="AB150" s="60">
        <v>2699.76708984375</v>
      </c>
      <c r="AC150" s="60">
        <v>924.65283203125</v>
      </c>
      <c r="AD150" s="48">
        <v>2.9197628498077393</v>
      </c>
      <c r="AE150" s="60"/>
      <c r="AF150" s="60"/>
      <c r="AG150" s="60"/>
      <c r="AH150" s="60"/>
      <c r="AI150" s="60"/>
      <c r="AJ150" s="60"/>
      <c r="AK150" s="60"/>
      <c r="AL150" s="49"/>
      <c r="AM150" s="49"/>
      <c r="AN150" s="49"/>
      <c r="AO150" s="49"/>
    </row>
    <row r="151" spans="1:41" ht="12.75" customHeight="1">
      <c r="A151"/>
      <c r="B151" t="s">
        <v>419</v>
      </c>
      <c r="C151" s="49">
        <v>18</v>
      </c>
      <c r="D151" s="49">
        <v>3942.7850736909577</v>
      </c>
      <c r="E151" s="49">
        <v>900.16</v>
      </c>
      <c r="F151" s="49">
        <v>0.794533569708932</v>
      </c>
      <c r="G151" s="49">
        <v>15.024137496948242</v>
      </c>
      <c r="H151" s="49"/>
      <c r="I151" s="49">
        <v>0.15983779338944615</v>
      </c>
      <c r="J151" s="49">
        <v>0.30063194036483765</v>
      </c>
      <c r="K151" s="49">
        <v>4243.422435559893</v>
      </c>
      <c r="L151" s="49">
        <v>0.9217012774479676</v>
      </c>
      <c r="M151" s="49">
        <v>3.032735586166382</v>
      </c>
      <c r="N151" s="49">
        <v>900.1567920770397</v>
      </c>
      <c r="O151" s="49">
        <v>9.471877098083496</v>
      </c>
      <c r="P151" s="49">
        <v>15.024137496948242</v>
      </c>
      <c r="Q151" s="49">
        <v>924.65283203125</v>
      </c>
      <c r="R151" s="49">
        <v>18.27841710964546</v>
      </c>
      <c r="S151" s="49">
        <v>1682.7623571826398</v>
      </c>
      <c r="T151" s="49">
        <v>32.96364974975586</v>
      </c>
      <c r="U151" s="49">
        <v>240.45257568359375</v>
      </c>
      <c r="V151" s="49">
        <v>1954.683802864471</v>
      </c>
      <c r="W151" s="49">
        <v>900.1567920770397</v>
      </c>
      <c r="X151" s="48">
        <v>2.1714925889235306</v>
      </c>
      <c r="Y151" s="60">
        <v>723.08349609375</v>
      </c>
      <c r="Z151" s="60">
        <v>0</v>
      </c>
      <c r="AA151" s="60">
        <v>0</v>
      </c>
      <c r="AB151" s="60">
        <v>2677.767333984375</v>
      </c>
      <c r="AC151" s="60">
        <v>924.65283203125</v>
      </c>
      <c r="AD151" s="48">
        <v>2.895970582962036</v>
      </c>
      <c r="AE151" s="60"/>
      <c r="AF151" s="60"/>
      <c r="AG151" s="60"/>
      <c r="AH151" s="60"/>
      <c r="AI151" s="60"/>
      <c r="AJ151" s="60"/>
      <c r="AK151" s="60"/>
      <c r="AL151" s="49"/>
      <c r="AM151" s="49"/>
      <c r="AN151" s="49"/>
      <c r="AO151" s="49"/>
    </row>
    <row r="152" spans="1:41" ht="12.75" customHeight="1">
      <c r="A152"/>
      <c r="B152" t="s">
        <v>440</v>
      </c>
      <c r="C152" s="49">
        <v>18</v>
      </c>
      <c r="D152" s="49">
        <v>3797.5392223562258</v>
      </c>
      <c r="E152" s="49">
        <v>900.16</v>
      </c>
      <c r="F152" s="49">
        <v>0.794533569708932</v>
      </c>
      <c r="G152" s="49">
        <v>15.024137496948242</v>
      </c>
      <c r="H152" s="49"/>
      <c r="I152" s="49">
        <v>0.15867834302612646</v>
      </c>
      <c r="J152" s="49">
        <v>0.3349323272705078</v>
      </c>
      <c r="K152" s="49">
        <v>4087.1015880608875</v>
      </c>
      <c r="L152" s="49">
        <v>0.9890342371601737</v>
      </c>
      <c r="M152" s="49">
        <v>2.9411542415618896</v>
      </c>
      <c r="N152" s="49">
        <v>900.1567920770397</v>
      </c>
      <c r="O152" s="49">
        <v>9.471877098083496</v>
      </c>
      <c r="P152" s="49">
        <v>15.024137496948242</v>
      </c>
      <c r="Q152" s="49">
        <v>924.65283203125</v>
      </c>
      <c r="R152" s="49">
        <v>18.977518316688304</v>
      </c>
      <c r="S152" s="49">
        <v>1484.2559048572289</v>
      </c>
      <c r="T152" s="49">
        <v>35.37173843383789</v>
      </c>
      <c r="U152" s="49">
        <v>218.74729919433594</v>
      </c>
      <c r="V152" s="49">
        <v>1736.7709728311663</v>
      </c>
      <c r="W152" s="49">
        <v>900.1567920770397</v>
      </c>
      <c r="X152" s="48">
        <v>1.9294093963605012</v>
      </c>
      <c r="Y152" s="60">
        <v>701.2481689453125</v>
      </c>
      <c r="Z152" s="60">
        <v>0</v>
      </c>
      <c r="AA152" s="60">
        <v>0</v>
      </c>
      <c r="AB152" s="60">
        <v>2438.01904296875</v>
      </c>
      <c r="AC152" s="60">
        <v>924.65283203125</v>
      </c>
      <c r="AD152" s="48">
        <v>2.636685848236084</v>
      </c>
      <c r="AE152" s="60"/>
      <c r="AF152" s="60"/>
      <c r="AG152" s="60"/>
      <c r="AH152" s="60"/>
      <c r="AI152" s="60"/>
      <c r="AJ152" s="60"/>
      <c r="AK152" s="60"/>
      <c r="AL152" s="49"/>
      <c r="AM152" s="49"/>
      <c r="AN152" s="49"/>
      <c r="AO152" s="49"/>
    </row>
    <row r="153" spans="1:41" ht="12.75" customHeight="1">
      <c r="A153"/>
      <c r="B153" t="s">
        <v>415</v>
      </c>
      <c r="C153" s="49">
        <v>18</v>
      </c>
      <c r="D153" s="49">
        <v>3716.0858147821473</v>
      </c>
      <c r="E153" s="49">
        <v>900.16</v>
      </c>
      <c r="F153" s="49">
        <v>0.794533569708932</v>
      </c>
      <c r="G153" s="49">
        <v>15.024137496948242</v>
      </c>
      <c r="H153" s="49"/>
      <c r="I153" s="49">
        <v>0.15921784949624362</v>
      </c>
      <c r="J153" s="49">
        <v>0.3189719617366791</v>
      </c>
      <c r="K153" s="49">
        <v>3999.437358159286</v>
      </c>
      <c r="L153" s="49">
        <v>0.9217012774479676</v>
      </c>
      <c r="M153" s="49">
        <v>2.86889910697937</v>
      </c>
      <c r="N153" s="49">
        <v>900.1567920770397</v>
      </c>
      <c r="O153" s="49">
        <v>9.471877098083496</v>
      </c>
      <c r="P153" s="49">
        <v>15.024137496948242</v>
      </c>
      <c r="Q153" s="49">
        <v>924.65283203125</v>
      </c>
      <c r="R153" s="49">
        <v>19.393489209514517</v>
      </c>
      <c r="S153" s="49">
        <v>1485.2781181728267</v>
      </c>
      <c r="T153" s="49">
        <v>32.96364974975586</v>
      </c>
      <c r="U153" s="49">
        <v>216.97499084472656</v>
      </c>
      <c r="V153" s="49">
        <v>1733.721988552534</v>
      </c>
      <c r="W153" s="49">
        <v>900.1567920770397</v>
      </c>
      <c r="X153" s="48">
        <v>1.9260222261414142</v>
      </c>
      <c r="Y153" s="60">
        <v>684.0206298828125</v>
      </c>
      <c r="Z153" s="60">
        <v>0</v>
      </c>
      <c r="AA153" s="60">
        <v>0</v>
      </c>
      <c r="AB153" s="60">
        <v>2417.74267578125</v>
      </c>
      <c r="AC153" s="60">
        <v>924.65283203125</v>
      </c>
      <c r="AD153" s="48">
        <v>2.6147572994232178</v>
      </c>
      <c r="AE153" s="60"/>
      <c r="AF153" s="60"/>
      <c r="AG153" s="60"/>
      <c r="AH153" s="60"/>
      <c r="AI153" s="60"/>
      <c r="AJ153" s="60"/>
      <c r="AK153" s="60"/>
      <c r="AL153" s="49"/>
      <c r="AM153" s="49"/>
      <c r="AN153" s="49"/>
      <c r="AO153" s="49"/>
    </row>
    <row r="154" spans="1:41" ht="12.75" customHeight="1">
      <c r="A154"/>
      <c r="B154" t="s">
        <v>439</v>
      </c>
      <c r="C154" s="49">
        <v>18</v>
      </c>
      <c r="D154" s="49">
        <v>3683.9584121107673</v>
      </c>
      <c r="E154" s="49">
        <v>900.16</v>
      </c>
      <c r="F154" s="49">
        <v>0.794533569708932</v>
      </c>
      <c r="G154" s="49">
        <v>15.024137496948242</v>
      </c>
      <c r="H154" s="49"/>
      <c r="I154" s="49">
        <v>0.15832928290422435</v>
      </c>
      <c r="J154" s="49">
        <v>0.3452587127685547</v>
      </c>
      <c r="K154" s="49">
        <v>3964.8602410342132</v>
      </c>
      <c r="L154" s="49">
        <v>0.9890342371601737</v>
      </c>
      <c r="M154" s="49">
        <v>2.8590691089630127</v>
      </c>
      <c r="N154" s="49">
        <v>900.1567920770397</v>
      </c>
      <c r="O154" s="49">
        <v>9.471877098083496</v>
      </c>
      <c r="P154" s="49">
        <v>15.024137496948242</v>
      </c>
      <c r="Q154" s="49">
        <v>924.65283203125</v>
      </c>
      <c r="R154" s="49">
        <v>19.562617730343867</v>
      </c>
      <c r="S154" s="49">
        <v>1407.122397147656</v>
      </c>
      <c r="T154" s="49">
        <v>35.37173843383789</v>
      </c>
      <c r="U154" s="49">
        <v>209.1655731201172</v>
      </c>
      <c r="V154" s="49">
        <v>1650.0557361863519</v>
      </c>
      <c r="W154" s="49">
        <v>900.1567920770397</v>
      </c>
      <c r="X154" s="48">
        <v>1.8330759160067887</v>
      </c>
      <c r="Y154" s="60">
        <v>681.6769409179688</v>
      </c>
      <c r="Z154" s="60">
        <v>0</v>
      </c>
      <c r="AA154" s="60">
        <v>0</v>
      </c>
      <c r="AB154" s="60">
        <v>2331.732666015625</v>
      </c>
      <c r="AC154" s="60">
        <v>924.65283203125</v>
      </c>
      <c r="AD154" s="48">
        <v>2.5217385292053223</v>
      </c>
      <c r="AE154" s="60"/>
      <c r="AF154" s="60"/>
      <c r="AG154" s="60"/>
      <c r="AH154" s="60"/>
      <c r="AI154" s="60"/>
      <c r="AJ154" s="60"/>
      <c r="AK154" s="60"/>
      <c r="AL154" s="49"/>
      <c r="AM154" s="49"/>
      <c r="AN154" s="49"/>
      <c r="AO154" s="49"/>
    </row>
    <row r="155" spans="1:41" ht="12.75" customHeight="1">
      <c r="A155"/>
      <c r="B155" t="s">
        <v>427</v>
      </c>
      <c r="C155" s="49">
        <v>18</v>
      </c>
      <c r="D155" s="49">
        <v>3391.776529400271</v>
      </c>
      <c r="E155" s="49">
        <v>900.16</v>
      </c>
      <c r="F155" s="49">
        <v>0.794533569708932</v>
      </c>
      <c r="G155" s="49">
        <v>15.024137496948242</v>
      </c>
      <c r="H155" s="49"/>
      <c r="I155" s="49">
        <v>0.16028155599459948</v>
      </c>
      <c r="J155" s="49">
        <v>0.2875039577484131</v>
      </c>
      <c r="K155" s="49">
        <v>3650.3994897670414</v>
      </c>
      <c r="L155" s="49">
        <v>0.7582685308472122</v>
      </c>
      <c r="M155" s="49">
        <v>2.602022886276245</v>
      </c>
      <c r="N155" s="49">
        <v>900.1567920770397</v>
      </c>
      <c r="O155" s="49">
        <v>9.471877098083496</v>
      </c>
      <c r="P155" s="49">
        <v>15.024137496948242</v>
      </c>
      <c r="Q155" s="49">
        <v>924.65283203125</v>
      </c>
      <c r="R155" s="49">
        <v>21.247823825041465</v>
      </c>
      <c r="S155" s="49">
        <v>1447.8296184664835</v>
      </c>
      <c r="T155" s="49">
        <v>27.118654251098633</v>
      </c>
      <c r="U155" s="49">
        <v>206.59764099121094</v>
      </c>
      <c r="V155" s="49">
        <v>1680.3161853753986</v>
      </c>
      <c r="W155" s="49">
        <v>900.1567920770397</v>
      </c>
      <c r="X155" s="48">
        <v>1.866692780818999</v>
      </c>
      <c r="Y155" s="60">
        <v>620.39013671875</v>
      </c>
      <c r="Z155" s="60">
        <v>0</v>
      </c>
      <c r="AA155" s="60">
        <v>0</v>
      </c>
      <c r="AB155" s="60">
        <v>2300.706298828125</v>
      </c>
      <c r="AC155" s="60">
        <v>924.65283203125</v>
      </c>
      <c r="AD155" s="48">
        <v>2.4881839752197266</v>
      </c>
      <c r="AE155" s="60"/>
      <c r="AF155" s="60"/>
      <c r="AG155" s="60"/>
      <c r="AH155" s="60"/>
      <c r="AI155" s="60"/>
      <c r="AJ155" s="60"/>
      <c r="AK155" s="60"/>
      <c r="AL155" s="49"/>
      <c r="AM155" s="49"/>
      <c r="AN155" s="49"/>
      <c r="AO155" s="49"/>
    </row>
    <row r="156" spans="1:41" ht="12.75" customHeight="1">
      <c r="A156"/>
      <c r="B156" t="s">
        <v>420</v>
      </c>
      <c r="C156" s="49">
        <v>18</v>
      </c>
      <c r="D156" s="49">
        <v>3546.5164987606126</v>
      </c>
      <c r="E156" s="49">
        <v>900.16</v>
      </c>
      <c r="F156" s="49">
        <v>0.794533569708932</v>
      </c>
      <c r="G156" s="49">
        <v>15.024137496948242</v>
      </c>
      <c r="H156" s="49"/>
      <c r="I156" s="49">
        <v>0.15870232337735987</v>
      </c>
      <c r="J156" s="49">
        <v>0.3342229425907135</v>
      </c>
      <c r="K156" s="49">
        <v>3816.938381791109</v>
      </c>
      <c r="L156" s="49">
        <v>0.9217012774479676</v>
      </c>
      <c r="M156" s="49">
        <v>2.7463507652282715</v>
      </c>
      <c r="N156" s="49">
        <v>900.1567920770397</v>
      </c>
      <c r="O156" s="49">
        <v>9.471877098083496</v>
      </c>
      <c r="P156" s="49">
        <v>15.024137496948242</v>
      </c>
      <c r="Q156" s="49">
        <v>924.65283203125</v>
      </c>
      <c r="R156" s="49">
        <v>20.320748592539417</v>
      </c>
      <c r="S156" s="49">
        <v>1368.470225484357</v>
      </c>
      <c r="T156" s="49">
        <v>32.96364974975586</v>
      </c>
      <c r="U156" s="49">
        <v>202.50482177734375</v>
      </c>
      <c r="V156" s="49">
        <v>1602.44392870403</v>
      </c>
      <c r="W156" s="49">
        <v>900.1567920770397</v>
      </c>
      <c r="X156" s="48">
        <v>1.7801831223275215</v>
      </c>
      <c r="Y156" s="60">
        <v>654.8018798828125</v>
      </c>
      <c r="Z156" s="60">
        <v>0</v>
      </c>
      <c r="AA156" s="60">
        <v>0</v>
      </c>
      <c r="AB156" s="60">
        <v>2257.245849609375</v>
      </c>
      <c r="AC156" s="60">
        <v>924.65283203125</v>
      </c>
      <c r="AD156" s="48">
        <v>2.4411818981170654</v>
      </c>
      <c r="AE156" s="60"/>
      <c r="AF156" s="60"/>
      <c r="AG156" s="60"/>
      <c r="AH156" s="60"/>
      <c r="AI156" s="60"/>
      <c r="AJ156" s="60"/>
      <c r="AK156" s="60"/>
      <c r="AL156" s="49"/>
      <c r="AM156" s="49"/>
      <c r="AN156" s="49"/>
      <c r="AO156" s="49"/>
    </row>
    <row r="157" spans="1:41" ht="12.75" customHeight="1">
      <c r="A157"/>
      <c r="B157" t="s">
        <v>437</v>
      </c>
      <c r="C157" s="49">
        <v>18</v>
      </c>
      <c r="D157" s="49">
        <v>3274.535688277193</v>
      </c>
      <c r="E157" s="49">
        <v>900.16</v>
      </c>
      <c r="F157" s="49">
        <v>0.794533569708932</v>
      </c>
      <c r="G157" s="49">
        <v>15.024137496948242</v>
      </c>
      <c r="H157" s="49"/>
      <c r="I157" s="49">
        <v>0.159677535859912</v>
      </c>
      <c r="J157" s="49">
        <v>0.3053728938102722</v>
      </c>
      <c r="K157" s="49">
        <v>3524.2190345083286</v>
      </c>
      <c r="L157" s="49">
        <v>0.7775568936683586</v>
      </c>
      <c r="M157" s="49">
        <v>2.521127700805664</v>
      </c>
      <c r="N157" s="49">
        <v>900.1567920770397</v>
      </c>
      <c r="O157" s="49">
        <v>9.471877098083496</v>
      </c>
      <c r="P157" s="49">
        <v>15.024137496948242</v>
      </c>
      <c r="Q157" s="49">
        <v>924.65283203125</v>
      </c>
      <c r="R157" s="49">
        <v>22.008576791088224</v>
      </c>
      <c r="S157" s="49">
        <v>1381.6419257251355</v>
      </c>
      <c r="T157" s="49">
        <v>27.808481216430664</v>
      </c>
      <c r="U157" s="49">
        <v>198.2034454345703</v>
      </c>
      <c r="V157" s="49">
        <v>1606.3928511839633</v>
      </c>
      <c r="W157" s="49">
        <v>900.1567920770397</v>
      </c>
      <c r="X157" s="48">
        <v>1.7845700497102739</v>
      </c>
      <c r="Y157" s="60">
        <v>601.102783203125</v>
      </c>
      <c r="Z157" s="60">
        <v>0</v>
      </c>
      <c r="AA157" s="60">
        <v>0</v>
      </c>
      <c r="AB157" s="60">
        <v>2207.49560546875</v>
      </c>
      <c r="AC157" s="60">
        <v>924.65283203125</v>
      </c>
      <c r="AD157" s="48">
        <v>2.3873777389526367</v>
      </c>
      <c r="AE157" s="60"/>
      <c r="AF157" s="60"/>
      <c r="AG157" s="60"/>
      <c r="AH157" s="60"/>
      <c r="AI157" s="60"/>
      <c r="AJ157" s="60"/>
      <c r="AK157" s="60"/>
      <c r="AL157" s="49"/>
      <c r="AM157" s="49"/>
      <c r="AN157" s="49"/>
      <c r="AO157" s="49"/>
    </row>
    <row r="158" spans="1:41" ht="12.75" customHeight="1">
      <c r="A158"/>
      <c r="B158" t="s">
        <v>433</v>
      </c>
      <c r="C158" s="49">
        <v>18</v>
      </c>
      <c r="D158" s="49">
        <v>3031.4426221338845</v>
      </c>
      <c r="E158" s="49">
        <v>900.16</v>
      </c>
      <c r="F158" s="49">
        <v>0.794533569708932</v>
      </c>
      <c r="G158" s="49">
        <v>15.024137496948242</v>
      </c>
      <c r="H158" s="49"/>
      <c r="I158" s="49">
        <v>0.15884977173215098</v>
      </c>
      <c r="J158" s="49">
        <v>0.3298608958721161</v>
      </c>
      <c r="K158" s="49">
        <v>3262.5901220715928</v>
      </c>
      <c r="L158" s="49">
        <v>0.7775568936683586</v>
      </c>
      <c r="M158" s="49">
        <v>2.3454434871673584</v>
      </c>
      <c r="N158" s="49">
        <v>900.1567920770397</v>
      </c>
      <c r="O158" s="49">
        <v>9.471877098083496</v>
      </c>
      <c r="P158" s="49">
        <v>15.024137496948242</v>
      </c>
      <c r="Q158" s="49">
        <v>924.65283203125</v>
      </c>
      <c r="R158" s="49">
        <v>23.77345677744602</v>
      </c>
      <c r="S158" s="49">
        <v>1185.4042450162551</v>
      </c>
      <c r="T158" s="49">
        <v>27.808481216430664</v>
      </c>
      <c r="U158" s="49">
        <v>174.5808563232422</v>
      </c>
      <c r="V158" s="49">
        <v>1386.532575641709</v>
      </c>
      <c r="W158" s="49">
        <v>900.1567920770397</v>
      </c>
      <c r="X158" s="48">
        <v>1.5403234057062394</v>
      </c>
      <c r="Y158" s="60">
        <v>559.2150268554688</v>
      </c>
      <c r="Z158" s="60">
        <v>0</v>
      </c>
      <c r="AA158" s="60">
        <v>0</v>
      </c>
      <c r="AB158" s="60">
        <v>1945.74755859375</v>
      </c>
      <c r="AC158" s="60">
        <v>924.65283203125</v>
      </c>
      <c r="AD158" s="48">
        <v>2.1043007373809814</v>
      </c>
      <c r="AE158" s="60"/>
      <c r="AF158" s="60"/>
      <c r="AG158" s="60"/>
      <c r="AH158" s="60"/>
      <c r="AI158" s="60"/>
      <c r="AJ158" s="60"/>
      <c r="AK158" s="60"/>
      <c r="AL158" s="49"/>
      <c r="AM158" s="49"/>
      <c r="AN158" s="49"/>
      <c r="AO158" s="49"/>
    </row>
    <row r="159" spans="1:41" ht="12.75" customHeight="1">
      <c r="A159"/>
      <c r="B159" t="s">
        <v>426</v>
      </c>
      <c r="C159" s="49">
        <v>18</v>
      </c>
      <c r="D159" s="49">
        <v>3057.4047552844854</v>
      </c>
      <c r="E159" s="49">
        <v>900.16</v>
      </c>
      <c r="F159" s="49">
        <v>0.794533569708932</v>
      </c>
      <c r="G159" s="49">
        <v>15.024137496948242</v>
      </c>
      <c r="H159" s="49"/>
      <c r="I159" s="49">
        <v>0.1592187024884963</v>
      </c>
      <c r="J159" s="49">
        <v>0.3189466893672943</v>
      </c>
      <c r="K159" s="49">
        <v>3290.5318678749272</v>
      </c>
      <c r="L159" s="49">
        <v>0.7582685308472122</v>
      </c>
      <c r="M159" s="49">
        <v>2.3603711128234863</v>
      </c>
      <c r="N159" s="49">
        <v>900.1567920770397</v>
      </c>
      <c r="O159" s="49">
        <v>9.471877098083496</v>
      </c>
      <c r="P159" s="49">
        <v>15.024137496948242</v>
      </c>
      <c r="Q159" s="49">
        <v>924.65283203125</v>
      </c>
      <c r="R159" s="49">
        <v>23.571583064376362</v>
      </c>
      <c r="S159" s="49">
        <v>1176.6605183459774</v>
      </c>
      <c r="T159" s="49">
        <v>27.118654251098633</v>
      </c>
      <c r="U159" s="49">
        <v>173.9803924560547</v>
      </c>
      <c r="V159" s="49">
        <v>1376.5298367197365</v>
      </c>
      <c r="W159" s="49">
        <v>900.1567920770397</v>
      </c>
      <c r="X159" s="48">
        <v>1.529211187246062</v>
      </c>
      <c r="Y159" s="60">
        <v>562.7741088867188</v>
      </c>
      <c r="Z159" s="60">
        <v>0</v>
      </c>
      <c r="AA159" s="60">
        <v>0</v>
      </c>
      <c r="AB159" s="60">
        <v>1939.303955078125</v>
      </c>
      <c r="AC159" s="60">
        <v>924.65283203125</v>
      </c>
      <c r="AD159" s="48">
        <v>2.097332000732422</v>
      </c>
      <c r="AE159" s="60"/>
      <c r="AF159" s="60"/>
      <c r="AG159" s="60"/>
      <c r="AH159" s="60"/>
      <c r="AI159" s="60"/>
      <c r="AJ159" s="60"/>
      <c r="AK159" s="60"/>
      <c r="AL159" s="49"/>
      <c r="AM159" s="49"/>
      <c r="AN159" s="49"/>
      <c r="AO159" s="49"/>
    </row>
    <row r="160" spans="1:41" ht="12.75" customHeight="1">
      <c r="A160"/>
      <c r="B160" t="s">
        <v>418</v>
      </c>
      <c r="C160" s="49">
        <v>18</v>
      </c>
      <c r="D160" s="49">
        <v>2760.9046661238</v>
      </c>
      <c r="E160" s="49">
        <v>900.16</v>
      </c>
      <c r="F160" s="49">
        <v>0.794533569708932</v>
      </c>
      <c r="G160" s="49">
        <v>15.024137496948242</v>
      </c>
      <c r="H160" s="49"/>
      <c r="I160" s="49">
        <v>0.16062451088345958</v>
      </c>
      <c r="J160" s="49">
        <v>0.27735820412635803</v>
      </c>
      <c r="K160" s="49">
        <v>2971.423646915739</v>
      </c>
      <c r="L160" s="49">
        <v>0.595448780250112</v>
      </c>
      <c r="M160" s="49">
        <v>2.1137144565582275</v>
      </c>
      <c r="N160" s="49">
        <v>900.1567920770397</v>
      </c>
      <c r="O160" s="49">
        <v>9.471877098083496</v>
      </c>
      <c r="P160" s="49">
        <v>15.024137496948242</v>
      </c>
      <c r="Q160" s="49">
        <v>924.65283203125</v>
      </c>
      <c r="R160" s="49">
        <v>26.10299118070888</v>
      </c>
      <c r="S160" s="49">
        <v>1208.5528040183437</v>
      </c>
      <c r="T160" s="49">
        <v>21.295581817626953</v>
      </c>
      <c r="U160" s="49">
        <v>170.9994659423828</v>
      </c>
      <c r="V160" s="49">
        <v>1399.8821808089529</v>
      </c>
      <c r="W160" s="49">
        <v>900.1567920770397</v>
      </c>
      <c r="X160" s="48">
        <v>1.5551537166973288</v>
      </c>
      <c r="Y160" s="60">
        <v>503.9647521972656</v>
      </c>
      <c r="Z160" s="60">
        <v>0</v>
      </c>
      <c r="AA160" s="60">
        <v>0</v>
      </c>
      <c r="AB160" s="60">
        <v>1903.846923828125</v>
      </c>
      <c r="AC160" s="60">
        <v>924.65283203125</v>
      </c>
      <c r="AD160" s="48">
        <v>2.058985710144043</v>
      </c>
      <c r="AE160" s="60"/>
      <c r="AF160" s="60"/>
      <c r="AG160" s="60"/>
      <c r="AH160" s="60"/>
      <c r="AI160" s="60"/>
      <c r="AJ160" s="60"/>
      <c r="AK160" s="60"/>
      <c r="AL160" s="49"/>
      <c r="AM160" s="49"/>
      <c r="AN160" s="49"/>
      <c r="AO160" s="49"/>
    </row>
    <row r="161" spans="1:41" ht="12.75" customHeight="1">
      <c r="A161"/>
      <c r="B161" t="s">
        <v>438</v>
      </c>
      <c r="C161" s="49">
        <v>18</v>
      </c>
      <c r="D161" s="49">
        <v>2917.861811888426</v>
      </c>
      <c r="E161" s="49">
        <v>900.16</v>
      </c>
      <c r="F161" s="49">
        <v>0.794533569708932</v>
      </c>
      <c r="G161" s="49">
        <v>15.024137496948242</v>
      </c>
      <c r="H161" s="49"/>
      <c r="I161" s="49">
        <v>0.158415737482851</v>
      </c>
      <c r="J161" s="49">
        <v>0.3427010774612427</v>
      </c>
      <c r="K161" s="49">
        <v>3140.3487750449185</v>
      </c>
      <c r="L161" s="49">
        <v>0.7775568936683586</v>
      </c>
      <c r="M161" s="49">
        <v>2.2633583545684814</v>
      </c>
      <c r="N161" s="49">
        <v>900.1567920770397</v>
      </c>
      <c r="O161" s="49">
        <v>9.471877098083496</v>
      </c>
      <c r="P161" s="49">
        <v>15.024137496948242</v>
      </c>
      <c r="Q161" s="49">
        <v>924.65283203125</v>
      </c>
      <c r="R161" s="49">
        <v>24.698863344719385</v>
      </c>
      <c r="S161" s="49">
        <v>1108.2707373066823</v>
      </c>
      <c r="T161" s="49">
        <v>27.808481216430664</v>
      </c>
      <c r="U161" s="49">
        <v>164.99913024902344</v>
      </c>
      <c r="V161" s="49">
        <v>1299.8173389968945</v>
      </c>
      <c r="W161" s="49">
        <v>900.1567920770397</v>
      </c>
      <c r="X161" s="48">
        <v>1.4439899253525268</v>
      </c>
      <c r="Y161" s="60">
        <v>539.643798828125</v>
      </c>
      <c r="Z161" s="60">
        <v>0</v>
      </c>
      <c r="AA161" s="60">
        <v>0</v>
      </c>
      <c r="AB161" s="60">
        <v>1839.461181640625</v>
      </c>
      <c r="AC161" s="60">
        <v>924.65283203125</v>
      </c>
      <c r="AD161" s="48">
        <v>1.9893532991409302</v>
      </c>
      <c r="AE161" s="60"/>
      <c r="AF161" s="60"/>
      <c r="AG161" s="60"/>
      <c r="AH161" s="60"/>
      <c r="AI161" s="60"/>
      <c r="AJ161" s="60"/>
      <c r="AK161" s="60"/>
      <c r="AL161" s="49"/>
      <c r="AM161" s="49"/>
      <c r="AN161" s="49"/>
      <c r="AO161" s="49"/>
    </row>
    <row r="162" spans="1:41" ht="12.75" customHeight="1">
      <c r="A162"/>
      <c r="B162" t="s">
        <v>423</v>
      </c>
      <c r="C162" s="49">
        <v>18</v>
      </c>
      <c r="D162" s="49">
        <v>2901.78369138554</v>
      </c>
      <c r="E162" s="49">
        <v>900.16</v>
      </c>
      <c r="F162" s="49">
        <v>0.794533569708932</v>
      </c>
      <c r="G162" s="49">
        <v>15.024137496948242</v>
      </c>
      <c r="H162" s="49"/>
      <c r="I162" s="49">
        <v>0.15864050743076955</v>
      </c>
      <c r="J162" s="49">
        <v>0.3360516428947449</v>
      </c>
      <c r="K162" s="49">
        <v>3123.044697853687</v>
      </c>
      <c r="L162" s="49">
        <v>0.7582685308472122</v>
      </c>
      <c r="M162" s="49">
        <v>2.247903347015381</v>
      </c>
      <c r="N162" s="49">
        <v>900.1567920770397</v>
      </c>
      <c r="O162" s="49">
        <v>9.471877098083496</v>
      </c>
      <c r="P162" s="49">
        <v>15.024137496948242</v>
      </c>
      <c r="Q162" s="49">
        <v>924.65283203125</v>
      </c>
      <c r="R162" s="49">
        <v>24.835714103898855</v>
      </c>
      <c r="S162" s="49">
        <v>1070.4994591141092</v>
      </c>
      <c r="T162" s="49">
        <v>27.118654251098633</v>
      </c>
      <c r="U162" s="49">
        <v>160.80435180664062</v>
      </c>
      <c r="V162" s="49">
        <v>1257.192739699477</v>
      </c>
      <c r="W162" s="49">
        <v>900.1567920770397</v>
      </c>
      <c r="X162" s="48">
        <v>1.3966375088928735</v>
      </c>
      <c r="Y162" s="60">
        <v>535.9588012695312</v>
      </c>
      <c r="Z162" s="60">
        <v>0</v>
      </c>
      <c r="AA162" s="60">
        <v>0</v>
      </c>
      <c r="AB162" s="60">
        <v>1793.1514892578125</v>
      </c>
      <c r="AC162" s="60">
        <v>924.65283203125</v>
      </c>
      <c r="AD162" s="48">
        <v>1.93927001953125</v>
      </c>
      <c r="AE162" s="60"/>
      <c r="AF162" s="60"/>
      <c r="AG162" s="60"/>
      <c r="AH162" s="60"/>
      <c r="AI162" s="60"/>
      <c r="AJ162" s="60"/>
      <c r="AK162" s="60"/>
      <c r="AL162" s="49"/>
      <c r="AM162" s="49"/>
      <c r="AN162" s="49"/>
      <c r="AO162" s="49"/>
    </row>
    <row r="163" spans="1:41" ht="12.75" customHeight="1">
      <c r="A163"/>
      <c r="B163" t="s">
        <v>417</v>
      </c>
      <c r="C163" s="49">
        <v>18</v>
      </c>
      <c r="D163" s="49">
        <v>2534.2054072149895</v>
      </c>
      <c r="E163" s="49">
        <v>900.16</v>
      </c>
      <c r="F163" s="49">
        <v>0.794533569708932</v>
      </c>
      <c r="G163" s="49">
        <v>15.024137496948242</v>
      </c>
      <c r="H163" s="49"/>
      <c r="I163" s="49">
        <v>0.15978581942278472</v>
      </c>
      <c r="J163" s="49">
        <v>0.3021695017814636</v>
      </c>
      <c r="K163" s="49">
        <v>2727.4385695151323</v>
      </c>
      <c r="L163" s="49">
        <v>0.595448780250112</v>
      </c>
      <c r="M163" s="49">
        <v>1.949878215789795</v>
      </c>
      <c r="N163" s="49">
        <v>900.1567920770397</v>
      </c>
      <c r="O163" s="49">
        <v>9.471877098083496</v>
      </c>
      <c r="P163" s="49">
        <v>15.024137496948242</v>
      </c>
      <c r="Q163" s="49">
        <v>924.65283203125</v>
      </c>
      <c r="R163" s="49">
        <v>28.438053973615272</v>
      </c>
      <c r="S163" s="49">
        <v>1011.0685650085306</v>
      </c>
      <c r="T163" s="49">
        <v>21.295581817626953</v>
      </c>
      <c r="U163" s="49">
        <v>147.5218963623047</v>
      </c>
      <c r="V163" s="49">
        <v>1178.920366497016</v>
      </c>
      <c r="W163" s="49">
        <v>900.1567920770397</v>
      </c>
      <c r="X163" s="48">
        <v>1.3096833539152126</v>
      </c>
      <c r="Y163" s="60">
        <v>464.90191650390625</v>
      </c>
      <c r="Z163" s="60">
        <v>0</v>
      </c>
      <c r="AA163" s="60">
        <v>0</v>
      </c>
      <c r="AB163" s="60">
        <v>1643.822265625</v>
      </c>
      <c r="AC163" s="60">
        <v>924.65283203125</v>
      </c>
      <c r="AD163" s="48">
        <v>1.7777724266052246</v>
      </c>
      <c r="AE163" s="60"/>
      <c r="AF163" s="60"/>
      <c r="AG163" s="60"/>
      <c r="AH163" s="60"/>
      <c r="AI163" s="60"/>
      <c r="AJ163" s="60"/>
      <c r="AK163" s="60"/>
      <c r="AL163" s="49"/>
      <c r="AM163" s="49"/>
      <c r="AN163" s="49"/>
      <c r="AO163" s="49"/>
    </row>
    <row r="164" spans="1:41" ht="12.75" customHeight="1">
      <c r="A164"/>
      <c r="B164" t="s">
        <v>436</v>
      </c>
      <c r="C164" s="49">
        <v>18</v>
      </c>
      <c r="D164" s="49">
        <v>2237.4833066808915</v>
      </c>
      <c r="E164" s="49">
        <v>900.16</v>
      </c>
      <c r="F164" s="49">
        <v>0.794533569708932</v>
      </c>
      <c r="G164" s="49">
        <v>15.024137496948242</v>
      </c>
      <c r="H164" s="49"/>
      <c r="I164" s="49">
        <v>0.1604550578881392</v>
      </c>
      <c r="J164" s="49">
        <v>0.2823711931705475</v>
      </c>
      <c r="K164" s="49">
        <v>2408.0914088153095</v>
      </c>
      <c r="L164" s="49">
        <v>0.4912834881236853</v>
      </c>
      <c r="M164" s="49">
        <v>1.714723825454712</v>
      </c>
      <c r="N164" s="49">
        <v>900.1567920770397</v>
      </c>
      <c r="O164" s="49">
        <v>9.471877098083496</v>
      </c>
      <c r="P164" s="49">
        <v>15.024137496948242</v>
      </c>
      <c r="Q164" s="49">
        <v>924.65283203125</v>
      </c>
      <c r="R164" s="49">
        <v>32.20934428222119</v>
      </c>
      <c r="S164" s="49">
        <v>967.4106152461275</v>
      </c>
      <c r="T164" s="49">
        <v>17.570222854614258</v>
      </c>
      <c r="U164" s="49">
        <v>137.447998046875</v>
      </c>
      <c r="V164" s="49">
        <v>1121.6320993047157</v>
      </c>
      <c r="W164" s="49">
        <v>900.1567920770397</v>
      </c>
      <c r="X164" s="48">
        <v>1.2460408110865213</v>
      </c>
      <c r="Y164" s="60">
        <v>408.83502197265625</v>
      </c>
      <c r="Z164" s="60">
        <v>0</v>
      </c>
      <c r="AA164" s="60">
        <v>0</v>
      </c>
      <c r="AB164" s="60">
        <v>1530.4671630859375</v>
      </c>
      <c r="AC164" s="60">
        <v>924.65283203125</v>
      </c>
      <c r="AD164" s="48">
        <v>1.6551803350448608</v>
      </c>
      <c r="AE164" s="60"/>
      <c r="AF164" s="60"/>
      <c r="AG164" s="60"/>
      <c r="AH164" s="60"/>
      <c r="AI164" s="60"/>
      <c r="AJ164" s="60"/>
      <c r="AK164" s="60"/>
      <c r="AL164" s="49"/>
      <c r="AM164" s="49"/>
      <c r="AN164" s="49"/>
      <c r="AO164" s="49"/>
    </row>
    <row r="165" spans="1:41" ht="12.75" customHeight="1">
      <c r="A165"/>
      <c r="B165" t="s">
        <v>414</v>
      </c>
      <c r="C165" s="49">
        <v>18</v>
      </c>
      <c r="D165" s="49">
        <v>2364.636091193455</v>
      </c>
      <c r="E165" s="49">
        <v>900.16</v>
      </c>
      <c r="F165" s="49">
        <v>0.794533569708932</v>
      </c>
      <c r="G165" s="49">
        <v>15.024137496948242</v>
      </c>
      <c r="H165" s="49"/>
      <c r="I165" s="49">
        <v>0.15905335508264823</v>
      </c>
      <c r="J165" s="49">
        <v>0.3238382339477539</v>
      </c>
      <c r="K165" s="49">
        <v>2544.9395931469553</v>
      </c>
      <c r="L165" s="49">
        <v>0.595448780250112</v>
      </c>
      <c r="M165" s="49">
        <v>1.8273298740386963</v>
      </c>
      <c r="N165" s="49">
        <v>900.1567920770397</v>
      </c>
      <c r="O165" s="49">
        <v>9.471877098083496</v>
      </c>
      <c r="P165" s="49">
        <v>15.024137496948242</v>
      </c>
      <c r="Q165" s="49">
        <v>924.65283203125</v>
      </c>
      <c r="R165" s="49">
        <v>30.477362000439648</v>
      </c>
      <c r="S165" s="49">
        <v>894.2606723200607</v>
      </c>
      <c r="T165" s="49">
        <v>21.295581817626953</v>
      </c>
      <c r="U165" s="49">
        <v>133.05172729492188</v>
      </c>
      <c r="V165" s="49">
        <v>1047.6423066485117</v>
      </c>
      <c r="W165" s="49">
        <v>900.1567920770397</v>
      </c>
      <c r="X165" s="48">
        <v>1.1638442501013198</v>
      </c>
      <c r="Y165" s="60">
        <v>435.68316650390625</v>
      </c>
      <c r="Z165" s="60">
        <v>0</v>
      </c>
      <c r="AA165" s="60">
        <v>0</v>
      </c>
      <c r="AB165" s="60">
        <v>1483.325439453125</v>
      </c>
      <c r="AC165" s="60">
        <v>924.65283203125</v>
      </c>
      <c r="AD165" s="48">
        <v>1.6041971445083618</v>
      </c>
      <c r="AE165" s="60"/>
      <c r="AF165" s="60"/>
      <c r="AG165" s="60"/>
      <c r="AH165" s="60"/>
      <c r="AI165" s="60"/>
      <c r="AJ165" s="60"/>
      <c r="AK165" s="60"/>
      <c r="AL165" s="49"/>
      <c r="AM165" s="49"/>
      <c r="AN165" s="49"/>
      <c r="AO165" s="49"/>
    </row>
    <row r="166" spans="1:41" ht="12.75" customHeight="1">
      <c r="A166"/>
      <c r="B166" t="s">
        <v>435</v>
      </c>
      <c r="C166" s="49">
        <v>18</v>
      </c>
      <c r="D166" s="49">
        <v>1994.390240537583</v>
      </c>
      <c r="E166" s="49">
        <v>900.16</v>
      </c>
      <c r="F166" s="49">
        <v>0.794533569708932</v>
      </c>
      <c r="G166" s="49">
        <v>15.024137496948242</v>
      </c>
      <c r="H166" s="49"/>
      <c r="I166" s="49">
        <v>0.15929164001887244</v>
      </c>
      <c r="J166" s="49">
        <v>0.3167889714241028</v>
      </c>
      <c r="K166" s="49">
        <v>2146.4624963785736</v>
      </c>
      <c r="L166" s="49">
        <v>0.4912834881236853</v>
      </c>
      <c r="M166" s="49">
        <v>1.5390396118164062</v>
      </c>
      <c r="N166" s="49">
        <v>900.1567920770397</v>
      </c>
      <c r="O166" s="49">
        <v>9.471877098083496</v>
      </c>
      <c r="P166" s="49">
        <v>15.024137496948242</v>
      </c>
      <c r="Q166" s="49">
        <v>924.65283203125</v>
      </c>
      <c r="R166" s="49">
        <v>36.135290218418746</v>
      </c>
      <c r="S166" s="49">
        <v>771.1729345372472</v>
      </c>
      <c r="T166" s="49">
        <v>17.570222854614258</v>
      </c>
      <c r="U166" s="49">
        <v>113.82540893554688</v>
      </c>
      <c r="V166" s="49">
        <v>901.7718237624615</v>
      </c>
      <c r="W166" s="49">
        <v>900.1567920770397</v>
      </c>
      <c r="X166" s="48">
        <v>1.0017941670824873</v>
      </c>
      <c r="Y166" s="60">
        <v>366.9472961425781</v>
      </c>
      <c r="Z166" s="60">
        <v>0</v>
      </c>
      <c r="AA166" s="60">
        <v>0</v>
      </c>
      <c r="AB166" s="60">
        <v>1268.7191162109375</v>
      </c>
      <c r="AC166" s="60">
        <v>924.65283203125</v>
      </c>
      <c r="AD166" s="48">
        <v>1.372103214263916</v>
      </c>
      <c r="AE166" s="60"/>
      <c r="AF166" s="60"/>
      <c r="AG166" s="60"/>
      <c r="AH166" s="60"/>
      <c r="AI166" s="60"/>
      <c r="AJ166" s="60"/>
      <c r="AK166" s="60"/>
      <c r="AL166" s="49"/>
      <c r="AM166" s="49"/>
      <c r="AN166" s="49"/>
      <c r="AO166" s="49"/>
    </row>
    <row r="167" spans="1:41" ht="12.75" customHeight="1">
      <c r="A167"/>
      <c r="B167" t="s">
        <v>432</v>
      </c>
      <c r="C167" s="49">
        <v>18</v>
      </c>
      <c r="D167" s="49">
        <v>1880.8094302921247</v>
      </c>
      <c r="E167" s="49">
        <v>900.16</v>
      </c>
      <c r="F167" s="49">
        <v>0.794533569708932</v>
      </c>
      <c r="G167" s="49">
        <v>15.024137496948242</v>
      </c>
      <c r="H167" s="49"/>
      <c r="I167" s="49">
        <v>0.1586449693974541</v>
      </c>
      <c r="J167" s="49">
        <v>0.33591964840888977</v>
      </c>
      <c r="K167" s="49">
        <v>2024.2211493518992</v>
      </c>
      <c r="L167" s="49">
        <v>0.4912834881236853</v>
      </c>
      <c r="M167" s="49">
        <v>1.4569543600082397</v>
      </c>
      <c r="N167" s="49">
        <v>900.1567920770397</v>
      </c>
      <c r="O167" s="49">
        <v>9.471877098083496</v>
      </c>
      <c r="P167" s="49">
        <v>15.024137496948242</v>
      </c>
      <c r="Q167" s="49">
        <v>924.65283203125</v>
      </c>
      <c r="R167" s="49">
        <v>38.31747597065911</v>
      </c>
      <c r="S167" s="49">
        <v>694.0394268276743</v>
      </c>
      <c r="T167" s="49">
        <v>17.570222854614258</v>
      </c>
      <c r="U167" s="49">
        <v>104.2436752319336</v>
      </c>
      <c r="V167" s="49">
        <v>815.0565871176469</v>
      </c>
      <c r="W167" s="49">
        <v>900.1567920770397</v>
      </c>
      <c r="X167" s="69">
        <v>0.9054606867287744</v>
      </c>
      <c r="Y167" s="60">
        <v>347.37603759765625</v>
      </c>
      <c r="Z167" s="60">
        <v>0</v>
      </c>
      <c r="AA167" s="60">
        <v>0</v>
      </c>
      <c r="AB167" s="60">
        <v>1162.4326171875</v>
      </c>
      <c r="AC167" s="60">
        <v>924.65283203125</v>
      </c>
      <c r="AD167" s="48">
        <v>1.2571557760238647</v>
      </c>
      <c r="AE167" s="60"/>
      <c r="AF167" s="60"/>
      <c r="AG167" s="60"/>
      <c r="AH167" s="60"/>
      <c r="AI167" s="60"/>
      <c r="AJ167" s="60"/>
      <c r="AK167" s="60"/>
      <c r="AL167" s="49"/>
      <c r="AM167" s="49"/>
      <c r="AN167" s="49"/>
      <c r="AO167" s="49"/>
    </row>
    <row r="168" spans="1:41" ht="12.75" customHeight="1">
      <c r="A168"/>
      <c r="B168" t="s">
        <v>392</v>
      </c>
      <c r="C168" s="49">
        <v>18</v>
      </c>
      <c r="D168" s="49">
        <v>644.8773394162517</v>
      </c>
      <c r="E168" s="49">
        <v>646</v>
      </c>
      <c r="F168" s="49">
        <v>0.3</v>
      </c>
      <c r="G168" s="49">
        <v>0.9390273094177246</v>
      </c>
      <c r="H168" s="49"/>
      <c r="I168" s="49">
        <v>0.17</v>
      </c>
      <c r="J168" s="49">
        <v>0</v>
      </c>
      <c r="K168" s="49">
        <v>694.0492365467409</v>
      </c>
      <c r="L168" s="49">
        <v>0</v>
      </c>
      <c r="M168" s="49">
        <v>0.46605509519577026</v>
      </c>
      <c r="N168" s="49">
        <v>645.9970378439841</v>
      </c>
      <c r="O168" s="49">
        <v>3.551356792449951</v>
      </c>
      <c r="P168" s="49">
        <v>0.9390273094177246</v>
      </c>
      <c r="Q168" s="49">
        <v>650.4874267578125</v>
      </c>
      <c r="R168" s="49">
        <v>78.61850656404609</v>
      </c>
      <c r="S168" s="49">
        <v>473.97525994114005</v>
      </c>
      <c r="T168" s="49">
        <v>0</v>
      </c>
      <c r="U168" s="49">
        <v>58.005611419677734</v>
      </c>
      <c r="V168" s="49">
        <v>531.9808713608178</v>
      </c>
      <c r="W168" s="49">
        <v>645.9970378439841</v>
      </c>
      <c r="X168" s="69">
        <v>0.8235035769456538</v>
      </c>
      <c r="Y168" s="60">
        <v>111.11970520019531</v>
      </c>
      <c r="Z168" s="60">
        <v>0</v>
      </c>
      <c r="AA168" s="60">
        <v>0</v>
      </c>
      <c r="AB168" s="60">
        <v>643.1005859375</v>
      </c>
      <c r="AC168" s="60">
        <v>650.4874267578125</v>
      </c>
      <c r="AD168" s="69">
        <v>0.9886441230773926</v>
      </c>
      <c r="AE168" s="60"/>
      <c r="AF168" s="60"/>
      <c r="AG168" s="60"/>
      <c r="AH168" s="60"/>
      <c r="AI168" s="60"/>
      <c r="AJ168" s="60"/>
      <c r="AK168" s="60"/>
      <c r="AL168" s="49"/>
      <c r="AM168" s="49"/>
      <c r="AN168" s="49"/>
      <c r="AO168" s="49"/>
    </row>
    <row r="169" spans="1:41" ht="12.75" customHeight="1">
      <c r="A169"/>
      <c r="B169" t="s">
        <v>389</v>
      </c>
      <c r="C169" s="49">
        <v>18</v>
      </c>
      <c r="D169" s="49">
        <v>603.8353620363548</v>
      </c>
      <c r="E169" s="49">
        <v>646</v>
      </c>
      <c r="F169" s="49">
        <v>0.3</v>
      </c>
      <c r="G169" s="49">
        <v>0.9390273094177246</v>
      </c>
      <c r="H169" s="49"/>
      <c r="I169" s="49">
        <v>0.17</v>
      </c>
      <c r="J169" s="49">
        <v>0</v>
      </c>
      <c r="K169" s="49">
        <v>649.8778083916268</v>
      </c>
      <c r="L169" s="49">
        <v>0</v>
      </c>
      <c r="M169" s="49">
        <v>0.4363939166069031</v>
      </c>
      <c r="N169" s="49">
        <v>645.9970378439841</v>
      </c>
      <c r="O169" s="49">
        <v>3.551356792449951</v>
      </c>
      <c r="P169" s="49">
        <v>0.9390273094177246</v>
      </c>
      <c r="Q169" s="49">
        <v>650.4874267578125</v>
      </c>
      <c r="R169" s="49">
        <v>83.96211373067736</v>
      </c>
      <c r="S169" s="49">
        <v>443.8100165558724</v>
      </c>
      <c r="T169" s="49">
        <v>0</v>
      </c>
      <c r="U169" s="49">
        <v>54.31395721435547</v>
      </c>
      <c r="V169" s="49">
        <v>498.12397377022785</v>
      </c>
      <c r="W169" s="49">
        <v>645.9970378439841</v>
      </c>
      <c r="X169" s="69">
        <v>0.771093278434708</v>
      </c>
      <c r="Y169" s="60">
        <v>104.0477066040039</v>
      </c>
      <c r="Z169" s="60">
        <v>0</v>
      </c>
      <c r="AA169" s="60">
        <v>0</v>
      </c>
      <c r="AB169" s="60">
        <v>602.1716918945312</v>
      </c>
      <c r="AC169" s="60">
        <v>650.4874267578125</v>
      </c>
      <c r="AD169" s="69">
        <v>0.9257237911224365</v>
      </c>
      <c r="AE169" s="60"/>
      <c r="AF169" s="60"/>
      <c r="AG169" s="60"/>
      <c r="AH169" s="60"/>
      <c r="AI169" s="60"/>
      <c r="AJ169" s="60"/>
      <c r="AK169" s="60"/>
      <c r="AL169" s="49"/>
      <c r="AM169" s="49"/>
      <c r="AN169" s="49"/>
      <c r="AO169" s="49"/>
    </row>
    <row r="170" spans="1:41" ht="12.75" customHeight="1">
      <c r="A170"/>
      <c r="B170" t="s">
        <v>395</v>
      </c>
      <c r="C170" s="49">
        <v>18</v>
      </c>
      <c r="D170" s="49">
        <v>457.7625868038931</v>
      </c>
      <c r="E170" s="49">
        <v>646</v>
      </c>
      <c r="F170" s="49">
        <v>0.3</v>
      </c>
      <c r="G170" s="49">
        <v>0.9390273094177246</v>
      </c>
      <c r="H170" s="49"/>
      <c r="I170" s="49">
        <v>0.17</v>
      </c>
      <c r="J170" s="49">
        <v>0</v>
      </c>
      <c r="K170" s="49">
        <v>492.66698404768994</v>
      </c>
      <c r="L170" s="49">
        <v>0</v>
      </c>
      <c r="M170" s="49">
        <v>0.33082661032676697</v>
      </c>
      <c r="N170" s="49">
        <v>645.9970378439841</v>
      </c>
      <c r="O170" s="49">
        <v>3.551356792449951</v>
      </c>
      <c r="P170" s="49">
        <v>0.9390273094177246</v>
      </c>
      <c r="Q170" s="49">
        <v>650.4874267578125</v>
      </c>
      <c r="R170" s="49">
        <v>110.75455881155463</v>
      </c>
      <c r="S170" s="49">
        <v>336.4486977757747</v>
      </c>
      <c r="T170" s="49">
        <v>0</v>
      </c>
      <c r="U170" s="49">
        <v>41.17496109008789</v>
      </c>
      <c r="V170" s="49">
        <v>377.6236588658626</v>
      </c>
      <c r="W170" s="49">
        <v>645.9970378439841</v>
      </c>
      <c r="X170" s="69">
        <v>0.5845594278979699</v>
      </c>
      <c r="Y170" s="60">
        <v>78.87771606445312</v>
      </c>
      <c r="Z170" s="60">
        <v>0</v>
      </c>
      <c r="AA170" s="60">
        <v>0</v>
      </c>
      <c r="AB170" s="60">
        <v>456.5013732910156</v>
      </c>
      <c r="AC170" s="60">
        <v>650.4874267578125</v>
      </c>
      <c r="AD170" s="69">
        <v>0.7017835378646851</v>
      </c>
      <c r="AE170" s="60"/>
      <c r="AF170" s="60"/>
      <c r="AG170" s="60"/>
      <c r="AH170" s="60"/>
      <c r="AI170" s="60"/>
      <c r="AJ170" s="60"/>
      <c r="AK170" s="60"/>
      <c r="AL170" s="49"/>
      <c r="AM170" s="49"/>
      <c r="AN170" s="49"/>
      <c r="AO170" s="49"/>
    </row>
    <row r="171" spans="1:41" ht="12.75" customHeight="1">
      <c r="A171"/>
      <c r="B171" t="s">
        <v>388</v>
      </c>
      <c r="C171" s="49">
        <v>18</v>
      </c>
      <c r="D171" s="49">
        <v>377.13610312754486</v>
      </c>
      <c r="E171" s="49">
        <v>646</v>
      </c>
      <c r="F171" s="49">
        <v>0.3</v>
      </c>
      <c r="G171" s="49">
        <v>0.9390273094177246</v>
      </c>
      <c r="H171" s="49"/>
      <c r="I171" s="49">
        <v>0.17</v>
      </c>
      <c r="J171" s="49">
        <v>0</v>
      </c>
      <c r="K171" s="49">
        <v>405.89273099102013</v>
      </c>
      <c r="L171" s="49">
        <v>0</v>
      </c>
      <c r="M171" s="49">
        <v>0.2725575566291809</v>
      </c>
      <c r="N171" s="49">
        <v>645.9970378439841</v>
      </c>
      <c r="O171" s="49">
        <v>3.551356792449951</v>
      </c>
      <c r="P171" s="49">
        <v>0.9390273094177246</v>
      </c>
      <c r="Q171" s="49">
        <v>650.4874267578125</v>
      </c>
      <c r="R171" s="49">
        <v>134.43235193198942</v>
      </c>
      <c r="S171" s="49">
        <v>246.32577754605924</v>
      </c>
      <c r="T171" s="49">
        <v>0</v>
      </c>
      <c r="U171" s="49">
        <v>30.836381912231445</v>
      </c>
      <c r="V171" s="49">
        <v>277.1621594582907</v>
      </c>
      <c r="W171" s="49">
        <v>645.9970378439841</v>
      </c>
      <c r="X171" s="69">
        <v>0.42904555782998594</v>
      </c>
      <c r="Y171" s="60">
        <v>64.98484802246094</v>
      </c>
      <c r="Z171" s="60">
        <v>0</v>
      </c>
      <c r="AA171" s="60">
        <v>0</v>
      </c>
      <c r="AB171" s="60">
        <v>342.1470031738281</v>
      </c>
      <c r="AC171" s="60">
        <v>650.4874267578125</v>
      </c>
      <c r="AD171" s="69">
        <v>0.525985598564148</v>
      </c>
      <c r="AE171" s="60"/>
      <c r="AF171" s="60"/>
      <c r="AG171" s="60"/>
      <c r="AH171" s="60"/>
      <c r="AI171" s="60"/>
      <c r="AJ171" s="60"/>
      <c r="AK171" s="60"/>
      <c r="AL171" s="49"/>
      <c r="AM171" s="49"/>
      <c r="AN171" s="49"/>
      <c r="AO171" s="49"/>
    </row>
    <row r="172" spans="1:41" ht="12.75" customHeight="1">
      <c r="A172"/>
      <c r="B172" t="s">
        <v>391</v>
      </c>
      <c r="C172" s="49">
        <v>18</v>
      </c>
      <c r="D172" s="49">
        <v>310.50556530046606</v>
      </c>
      <c r="E172" s="49">
        <v>646</v>
      </c>
      <c r="F172" s="49">
        <v>0.3</v>
      </c>
      <c r="G172" s="49">
        <v>0.9390273094177246</v>
      </c>
      <c r="H172" s="49"/>
      <c r="I172" s="49">
        <v>0.17</v>
      </c>
      <c r="J172" s="49">
        <v>0</v>
      </c>
      <c r="K172" s="49">
        <v>334.18161465462657</v>
      </c>
      <c r="L172" s="49">
        <v>0</v>
      </c>
      <c r="M172" s="49">
        <v>0.22440344095230103</v>
      </c>
      <c r="N172" s="49">
        <v>645.9970378439841</v>
      </c>
      <c r="O172" s="49">
        <v>3.551356792449951</v>
      </c>
      <c r="P172" s="49">
        <v>0.9390273094177246</v>
      </c>
      <c r="Q172" s="49">
        <v>650.4874267578125</v>
      </c>
      <c r="R172" s="49">
        <v>163.27982170896394</v>
      </c>
      <c r="S172" s="49">
        <v>202.80615982063404</v>
      </c>
      <c r="T172" s="49">
        <v>0</v>
      </c>
      <c r="U172" s="49">
        <v>25.388362884521484</v>
      </c>
      <c r="V172" s="49">
        <v>228.19452270515552</v>
      </c>
      <c r="W172" s="49">
        <v>645.9970378439841</v>
      </c>
      <c r="X172" s="69">
        <v>0.3532439149670949</v>
      </c>
      <c r="Y172" s="60">
        <v>53.50364685058594</v>
      </c>
      <c r="Z172" s="60">
        <v>0</v>
      </c>
      <c r="AA172" s="60">
        <v>0</v>
      </c>
      <c r="AB172" s="60">
        <v>281.69818115234375</v>
      </c>
      <c r="AC172" s="60">
        <v>650.4874267578125</v>
      </c>
      <c r="AD172" s="69">
        <v>0.4330570697784424</v>
      </c>
      <c r="AE172" s="60"/>
      <c r="AF172" s="60"/>
      <c r="AG172" s="60"/>
      <c r="AH172" s="60"/>
      <c r="AI172" s="60"/>
      <c r="AJ172" s="60"/>
      <c r="AK172" s="60"/>
      <c r="AL172" s="49"/>
      <c r="AM172" s="49"/>
      <c r="AN172" s="49"/>
      <c r="AO172" s="49"/>
    </row>
    <row r="173" spans="1:41" ht="12.75" customHeight="1">
      <c r="A173"/>
      <c r="B173" t="s">
        <v>394</v>
      </c>
      <c r="C173" s="49">
        <v>18</v>
      </c>
      <c r="D173" s="49">
        <v>214.66952066058445</v>
      </c>
      <c r="E173" s="49">
        <v>646</v>
      </c>
      <c r="F173" s="49">
        <v>0.3</v>
      </c>
      <c r="G173" s="49">
        <v>0.9390273094177246</v>
      </c>
      <c r="H173" s="49"/>
      <c r="I173" s="49">
        <v>0.17</v>
      </c>
      <c r="J173" s="49">
        <v>0</v>
      </c>
      <c r="K173" s="49">
        <v>231.038071610954</v>
      </c>
      <c r="L173" s="49">
        <v>0</v>
      </c>
      <c r="M173" s="49">
        <v>0.1551424115896225</v>
      </c>
      <c r="N173" s="49">
        <v>645.9970378439841</v>
      </c>
      <c r="O173" s="49">
        <v>3.551356792449951</v>
      </c>
      <c r="P173" s="49">
        <v>0.9390273094177246</v>
      </c>
      <c r="Q173" s="49">
        <v>650.4874267578125</v>
      </c>
      <c r="R173" s="49">
        <v>236.1736924081653</v>
      </c>
      <c r="S173" s="49">
        <v>140.2110170668944</v>
      </c>
      <c r="T173" s="49">
        <v>0</v>
      </c>
      <c r="U173" s="49">
        <v>17.552366256713867</v>
      </c>
      <c r="V173" s="49">
        <v>157.76338332360828</v>
      </c>
      <c r="W173" s="49">
        <v>645.9970378439841</v>
      </c>
      <c r="X173" s="69">
        <v>0.24421688348625215</v>
      </c>
      <c r="Y173" s="60">
        <v>36.9900016784668</v>
      </c>
      <c r="Z173" s="60">
        <v>0</v>
      </c>
      <c r="AA173" s="60">
        <v>0</v>
      </c>
      <c r="AB173" s="60">
        <v>194.75338745117188</v>
      </c>
      <c r="AC173" s="60">
        <v>650.4874267578125</v>
      </c>
      <c r="AD173" s="69">
        <v>0.2993960678577423</v>
      </c>
      <c r="AE173" s="60"/>
      <c r="AF173" s="60"/>
      <c r="AG173" s="60"/>
      <c r="AH173" s="60"/>
      <c r="AI173" s="60"/>
      <c r="AJ173" s="60"/>
      <c r="AK173" s="60"/>
      <c r="AL173" s="49"/>
      <c r="AM173" s="49"/>
      <c r="AN173" s="49"/>
      <c r="AO173" s="49"/>
    </row>
    <row r="174" spans="1:41" ht="12.75" customHeight="1">
      <c r="A174"/>
      <c r="B174" t="s">
        <v>387</v>
      </c>
      <c r="C174" s="49">
        <v>18</v>
      </c>
      <c r="D174" s="49">
        <v>207.56678710600988</v>
      </c>
      <c r="E174" s="49">
        <v>646</v>
      </c>
      <c r="F174" s="49">
        <v>0.3</v>
      </c>
      <c r="G174" s="49">
        <v>0.9390273094177246</v>
      </c>
      <c r="H174" s="49"/>
      <c r="I174" s="49">
        <v>0.17</v>
      </c>
      <c r="J174" s="49">
        <v>0</v>
      </c>
      <c r="K174" s="49">
        <v>223.39375462284315</v>
      </c>
      <c r="L174" s="49">
        <v>0</v>
      </c>
      <c r="M174" s="49">
        <v>0.15000922977924347</v>
      </c>
      <c r="N174" s="49">
        <v>645.9970378439841</v>
      </c>
      <c r="O174" s="49">
        <v>3.551356792449951</v>
      </c>
      <c r="P174" s="49">
        <v>0.9390273094177246</v>
      </c>
      <c r="Q174" s="49">
        <v>650.4874267578125</v>
      </c>
      <c r="R174" s="49">
        <v>244.2553264362457</v>
      </c>
      <c r="S174" s="49">
        <v>129.5178848575894</v>
      </c>
      <c r="T174" s="49">
        <v>0</v>
      </c>
      <c r="U174" s="49">
        <v>16.366214752197266</v>
      </c>
      <c r="V174" s="49">
        <v>145.88409960978666</v>
      </c>
      <c r="W174" s="49">
        <v>645.9970378439841</v>
      </c>
      <c r="X174" s="69">
        <v>0.22582781508824717</v>
      </c>
      <c r="Y174" s="60">
        <v>35.76612091064453</v>
      </c>
      <c r="Z174" s="60">
        <v>0</v>
      </c>
      <c r="AA174" s="60">
        <v>0</v>
      </c>
      <c r="AB174" s="60">
        <v>181.6502227783203</v>
      </c>
      <c r="AC174" s="60">
        <v>650.4874267578125</v>
      </c>
      <c r="AD174" s="69">
        <v>0.27925246953964233</v>
      </c>
      <c r="AE174" s="60"/>
      <c r="AF174" s="60"/>
      <c r="AG174" s="60"/>
      <c r="AH174" s="60"/>
      <c r="AI174" s="60"/>
      <c r="AJ174" s="60"/>
      <c r="AK174" s="60"/>
      <c r="AL174" s="49"/>
      <c r="AM174" s="49"/>
      <c r="AN174" s="49"/>
      <c r="AO174" s="49"/>
    </row>
    <row r="175" spans="1:41" ht="12.75" customHeight="1">
      <c r="A175"/>
      <c r="B175" t="s">
        <v>390</v>
      </c>
      <c r="C175" s="49">
        <v>18</v>
      </c>
      <c r="D175" s="49">
        <v>154.88450140152065</v>
      </c>
      <c r="E175" s="49">
        <v>646</v>
      </c>
      <c r="F175" s="49">
        <v>0.3</v>
      </c>
      <c r="G175" s="49">
        <v>0.9390273094177246</v>
      </c>
      <c r="H175" s="49"/>
      <c r="I175" s="49">
        <v>0.17</v>
      </c>
      <c r="J175" s="49">
        <v>0</v>
      </c>
      <c r="K175" s="49">
        <v>166.69444463338658</v>
      </c>
      <c r="L175" s="49">
        <v>0</v>
      </c>
      <c r="M175" s="49">
        <v>0.1119355633854866</v>
      </c>
      <c r="N175" s="49">
        <v>645.9970378439841</v>
      </c>
      <c r="O175" s="49">
        <v>3.551356792449951</v>
      </c>
      <c r="P175" s="49">
        <v>0.9390273094177246</v>
      </c>
      <c r="Q175" s="49">
        <v>650.4874267578125</v>
      </c>
      <c r="R175" s="49">
        <v>327.3361303625141</v>
      </c>
      <c r="S175" s="49">
        <v>96.64510058876573</v>
      </c>
      <c r="T175" s="49">
        <v>0</v>
      </c>
      <c r="U175" s="49">
        <v>12.212325096130371</v>
      </c>
      <c r="V175" s="49">
        <v>108.8574256848961</v>
      </c>
      <c r="W175" s="49">
        <v>645.9970378439841</v>
      </c>
      <c r="X175" s="69">
        <v>0.16851071956646718</v>
      </c>
      <c r="Y175" s="60">
        <v>26.688364028930664</v>
      </c>
      <c r="Z175" s="60">
        <v>0</v>
      </c>
      <c r="AA175" s="60">
        <v>0</v>
      </c>
      <c r="AB175" s="60">
        <v>135.54579162597656</v>
      </c>
      <c r="AC175" s="60">
        <v>650.4874267578125</v>
      </c>
      <c r="AD175" s="69">
        <v>0.2083757221698761</v>
      </c>
      <c r="AE175" s="60"/>
      <c r="AF175" s="60"/>
      <c r="AG175" s="60"/>
      <c r="AH175" s="60"/>
      <c r="AI175" s="60"/>
      <c r="AJ175" s="60"/>
      <c r="AK175" s="60"/>
      <c r="AL175" s="49"/>
      <c r="AM175" s="49"/>
      <c r="AN175" s="49"/>
      <c r="AO175" s="49"/>
    </row>
    <row r="176" spans="1:41" ht="12.75" customHeight="1">
      <c r="A176"/>
      <c r="B176" t="s">
        <v>393</v>
      </c>
      <c r="C176" s="49">
        <v>18</v>
      </c>
      <c r="D176" s="49">
        <v>101.08871041512634</v>
      </c>
      <c r="E176" s="49">
        <v>646</v>
      </c>
      <c r="F176" s="49">
        <v>0.3</v>
      </c>
      <c r="G176" s="49">
        <v>0.9390273094177246</v>
      </c>
      <c r="H176" s="49"/>
      <c r="I176" s="49">
        <v>0.17</v>
      </c>
      <c r="J176" s="49">
        <v>0</v>
      </c>
      <c r="K176" s="49">
        <v>108.79672458427973</v>
      </c>
      <c r="L176" s="49">
        <v>0</v>
      </c>
      <c r="M176" s="49">
        <v>0.073057159781456</v>
      </c>
      <c r="N176" s="49">
        <v>645.9970378439841</v>
      </c>
      <c r="O176" s="49">
        <v>3.551356792449951</v>
      </c>
      <c r="P176" s="49">
        <v>0.9390273094177246</v>
      </c>
      <c r="Q176" s="49">
        <v>650.4874267578125</v>
      </c>
      <c r="R176" s="49">
        <v>501.53269473615524</v>
      </c>
      <c r="S176" s="49">
        <v>63.0775093573216</v>
      </c>
      <c r="T176" s="49">
        <v>0</v>
      </c>
      <c r="U176" s="49">
        <v>7.970637321472168</v>
      </c>
      <c r="V176" s="49">
        <v>71.04814667879377</v>
      </c>
      <c r="W176" s="49">
        <v>645.9970378439841</v>
      </c>
      <c r="X176" s="69">
        <v>0.1099821555156306</v>
      </c>
      <c r="Y176" s="60">
        <v>17.41873550415039</v>
      </c>
      <c r="Z176" s="60">
        <v>0</v>
      </c>
      <c r="AA176" s="60">
        <v>0</v>
      </c>
      <c r="AB176" s="60">
        <v>88.46688079833984</v>
      </c>
      <c r="AC176" s="60">
        <v>650.4874267578125</v>
      </c>
      <c r="AD176" s="69">
        <v>0.13600090146064758</v>
      </c>
      <c r="AE176" s="60"/>
      <c r="AF176" s="60"/>
      <c r="AG176" s="60"/>
      <c r="AH176" s="60"/>
      <c r="AI176" s="60"/>
      <c r="AJ176" s="60"/>
      <c r="AK176" s="60"/>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60"/>
      <c r="Y177" s="60"/>
      <c r="Z177" s="60"/>
      <c r="AA177" s="60"/>
      <c r="AB177" s="60"/>
      <c r="AC177" s="60"/>
      <c r="AD177" s="60"/>
      <c r="AE177" s="60"/>
      <c r="AF177" s="60"/>
      <c r="AG177" s="60"/>
      <c r="AH177" s="60"/>
      <c r="AI177" s="60"/>
      <c r="AJ177" s="60"/>
      <c r="AK177" s="60"/>
      <c r="AL177" s="49"/>
      <c r="AM177" s="49"/>
      <c r="AN177" s="49"/>
      <c r="AO177" s="49"/>
    </row>
    <row r="178" spans="1:41" ht="12.75" customHeight="1" thickBo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thickBot="1">
      <c r="A179" s="65" t="s">
        <v>62</v>
      </c>
      <c r="B179" s="66"/>
      <c r="C179" s="67"/>
      <c r="D179" s="67"/>
      <c r="E179" s="67"/>
      <c r="F179" s="67"/>
      <c r="G179" s="67"/>
      <c r="H179" s="67"/>
      <c r="I179" s="67"/>
      <c r="J179" s="67"/>
      <c r="K179" s="68"/>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25.5">
      <c r="A180" s="57"/>
      <c r="B180" s="58" t="s">
        <v>63</v>
      </c>
      <c r="C180" s="59" t="s">
        <v>59</v>
      </c>
      <c r="D180" s="59" t="s">
        <v>60</v>
      </c>
      <c r="E180" s="59" t="s">
        <v>64</v>
      </c>
      <c r="F180" s="59" t="s">
        <v>65</v>
      </c>
      <c r="G180" s="59" t="s">
        <v>66</v>
      </c>
      <c r="H180" s="59" t="s">
        <v>67</v>
      </c>
      <c r="I180" s="59" t="s">
        <v>61</v>
      </c>
      <c r="J180" s="59" t="s">
        <v>50</v>
      </c>
      <c r="K180" s="59" t="s">
        <v>58</v>
      </c>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t="s">
        <v>68</v>
      </c>
      <c r="C181" s="49">
        <v>95010.52474620099</v>
      </c>
      <c r="D181" s="49">
        <v>19417.70893099005</v>
      </c>
      <c r="E181" s="49">
        <v>18903.29</v>
      </c>
      <c r="F181" s="49">
        <v>3780.65772</v>
      </c>
      <c r="G181" s="49">
        <v>23198.36665099005</v>
      </c>
      <c r="H181" s="49">
        <v>2138.896728515625</v>
      </c>
      <c r="I181" s="49">
        <v>20.48150417393046</v>
      </c>
      <c r="J181" s="49">
        <v>35760.13556561405</v>
      </c>
      <c r="K181" s="48">
        <v>1.5414936794305687</v>
      </c>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t="s">
        <v>69</v>
      </c>
      <c r="C182" s="49">
        <v>0</v>
      </c>
      <c r="D182" s="49">
        <v>0</v>
      </c>
      <c r="E182" s="49">
        <v>0</v>
      </c>
      <c r="F182" s="49">
        <v>0</v>
      </c>
      <c r="G182" s="49">
        <v>0</v>
      </c>
      <c r="H182" s="49">
        <v>0</v>
      </c>
      <c r="I182" s="49">
        <v>0</v>
      </c>
      <c r="J182" s="49">
        <v>42080.06710392258</v>
      </c>
      <c r="K182" s="69">
        <v>0</v>
      </c>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t="s">
        <v>70</v>
      </c>
      <c r="C183" s="49">
        <v>89651.13011025915</v>
      </c>
      <c r="D183" s="49">
        <v>23675.349609375</v>
      </c>
      <c r="E183" s="49">
        <v>0</v>
      </c>
      <c r="F183" s="49">
        <v>0</v>
      </c>
      <c r="G183" s="49">
        <v>23675.349609375</v>
      </c>
      <c r="H183" s="49">
        <v>2313.3681640625</v>
      </c>
      <c r="I183" s="49">
        <v>22.152196198052184</v>
      </c>
      <c r="J183" s="49">
        <v>33992.682099258695</v>
      </c>
      <c r="K183" s="48">
        <v>1.4357837438564465</v>
      </c>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t="s">
        <v>71</v>
      </c>
      <c r="C184" s="49">
        <v>9919.7741102495</v>
      </c>
      <c r="D184" s="49">
        <v>0</v>
      </c>
      <c r="E184" s="49">
        <v>0</v>
      </c>
      <c r="F184" s="49">
        <v>0</v>
      </c>
      <c r="G184" s="49">
        <v>0</v>
      </c>
      <c r="H184" s="49">
        <v>0</v>
      </c>
      <c r="I184" s="49">
        <v>0</v>
      </c>
      <c r="J184" s="49">
        <v>6398.452270530157</v>
      </c>
      <c r="K184" s="69">
        <v>0</v>
      </c>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t="s">
        <v>72</v>
      </c>
      <c r="C185" s="49">
        <v>17437.333994573695</v>
      </c>
      <c r="D185" s="49">
        <v>2773.9584187128653</v>
      </c>
      <c r="E185" s="49">
        <v>2700.47</v>
      </c>
      <c r="F185" s="49">
        <v>540.09396</v>
      </c>
      <c r="G185" s="49">
        <v>3314.0523787128654</v>
      </c>
      <c r="H185" s="49">
        <v>1664.8817138671875</v>
      </c>
      <c r="I185" s="49">
        <v>15.942463778024456</v>
      </c>
      <c r="J185" s="49">
        <v>6077.845842559195</v>
      </c>
      <c r="K185" s="449">
        <v>1.833961913697861</v>
      </c>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t="s">
        <v>73</v>
      </c>
      <c r="C186" s="49">
        <v>49689.70973033495</v>
      </c>
      <c r="D186" s="49">
        <v>11095.833674851461</v>
      </c>
      <c r="E186" s="49">
        <v>10801.88</v>
      </c>
      <c r="F186" s="49">
        <v>2160.37584</v>
      </c>
      <c r="G186" s="49">
        <v>13256.209514851462</v>
      </c>
      <c r="H186" s="49">
        <v>2336.99072265625</v>
      </c>
      <c r="I186" s="49">
        <v>22.37840125067937</v>
      </c>
      <c r="J186" s="49">
        <v>17226.694693100602</v>
      </c>
      <c r="K186" s="449">
        <v>1.2995188914146873</v>
      </c>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t="s">
        <v>74</v>
      </c>
      <c r="C187" s="49">
        <v>24928.344426615153</v>
      </c>
      <c r="D187" s="49">
        <v>8321.875256138595</v>
      </c>
      <c r="E187" s="49">
        <v>8101.41</v>
      </c>
      <c r="F187" s="49">
        <v>1620.28188</v>
      </c>
      <c r="G187" s="49">
        <v>9942.157136138596</v>
      </c>
      <c r="H187" s="49">
        <v>3493.74560546875</v>
      </c>
      <c r="I187" s="49">
        <v>33.45517786937355</v>
      </c>
      <c r="J187" s="49">
        <v>8351.371121811528</v>
      </c>
      <c r="K187" s="70">
        <v>0.8399958889661133</v>
      </c>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t="s">
        <v>75</v>
      </c>
      <c r="C188" s="49">
        <v>5746.273274302858</v>
      </c>
      <c r="D188" s="49">
        <v>2773.9584187128653</v>
      </c>
      <c r="E188" s="49">
        <v>2700.47</v>
      </c>
      <c r="F188" s="49">
        <v>540.09396</v>
      </c>
      <c r="G188" s="49">
        <v>3314.0523787128654</v>
      </c>
      <c r="H188" s="49">
        <v>5052.1611328125</v>
      </c>
      <c r="I188" s="49">
        <v>48.3781491626905</v>
      </c>
      <c r="J188" s="49">
        <v>1892.8857524110583</v>
      </c>
      <c r="K188" s="70">
        <v>0.5711695338823312</v>
      </c>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t="s">
        <v>76</v>
      </c>
      <c r="C189" s="49">
        <v>0</v>
      </c>
      <c r="D189" s="49">
        <v>0</v>
      </c>
      <c r="E189" s="49">
        <v>0</v>
      </c>
      <c r="F189" s="49">
        <v>0</v>
      </c>
      <c r="G189" s="49">
        <v>0</v>
      </c>
      <c r="H189" s="49">
        <v>0</v>
      </c>
      <c r="I189" s="49">
        <v>0</v>
      </c>
      <c r="J189" s="49">
        <v>0</v>
      </c>
      <c r="K189" s="70">
        <v>0</v>
      </c>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t="s">
        <v>77</v>
      </c>
      <c r="C190" s="49">
        <v>3306.5913700831675</v>
      </c>
      <c r="D190" s="49">
        <v>5854.3867973072465</v>
      </c>
      <c r="E190" s="49">
        <v>5813.97</v>
      </c>
      <c r="F190" s="49">
        <v>1162.7944200000002</v>
      </c>
      <c r="G190" s="49">
        <v>7017.181217307247</v>
      </c>
      <c r="H190" s="49">
        <v>18590.294921875</v>
      </c>
      <c r="I190" s="49">
        <v>178.0157060602755</v>
      </c>
      <c r="J190" s="49">
        <v>2132.8174235100514</v>
      </c>
      <c r="K190" s="70">
        <v>0.30394218952898766</v>
      </c>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row>
    <row r="520" spans="1:41" ht="12.75"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row>
    <row r="521" spans="1:41" ht="12.75"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row>
    <row r="522" spans="1:41" ht="12.75" customHeight="1">
      <c r="A522"/>
      <c r="B522"/>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row>
    <row r="523" spans="1:41" ht="12.75" customHeight="1">
      <c r="A523"/>
      <c r="B52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row>
    <row r="524" spans="1:41" ht="12.75" customHeight="1">
      <c r="A524"/>
      <c r="B524"/>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row>
    <row r="525" spans="1:41" ht="12.75" customHeight="1">
      <c r="A525"/>
      <c r="B525"/>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row>
    <row r="526" spans="1:41" ht="12.75" customHeight="1">
      <c r="A526"/>
      <c r="B526"/>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row>
    <row r="527" spans="1:41" ht="12.75" customHeight="1">
      <c r="A527"/>
      <c r="B527"/>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row>
    <row r="528" spans="1:41" ht="12.75" customHeight="1">
      <c r="A528"/>
      <c r="B52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row>
    <row r="529" spans="1:41" ht="12.75" customHeight="1">
      <c r="A529"/>
      <c r="B52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row>
    <row r="530" spans="1:41" ht="12.75" customHeight="1">
      <c r="A530"/>
      <c r="B530"/>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c r="AN530" s="49"/>
      <c r="AO530" s="49"/>
    </row>
    <row r="531" spans="1:41" ht="12.75" customHeight="1">
      <c r="A531"/>
      <c r="B531"/>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c r="AN531" s="49"/>
      <c r="AO531" s="49"/>
    </row>
    <row r="532" spans="1:41" ht="12.75" customHeight="1">
      <c r="A532"/>
      <c r="B532"/>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row>
    <row r="533" spans="1:41" ht="12.75" customHeight="1">
      <c r="A533"/>
      <c r="B533"/>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row>
    <row r="534" spans="1:41" ht="12.75" customHeight="1">
      <c r="A534"/>
      <c r="B534"/>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c r="AN534" s="49"/>
      <c r="AO534" s="49"/>
    </row>
    <row r="535" spans="1:41" ht="12.75" customHeight="1">
      <c r="A535"/>
      <c r="B535"/>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row>
    <row r="536" spans="1:41" ht="12.75" customHeight="1">
      <c r="A536"/>
      <c r="B536"/>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row>
    <row r="537" spans="1:41" ht="12.75" customHeight="1">
      <c r="A537"/>
      <c r="B537"/>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c r="AN537" s="49"/>
      <c r="AO537" s="49"/>
    </row>
    <row r="538" spans="1:41" ht="12.75" customHeight="1">
      <c r="A538"/>
      <c r="B538"/>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row>
    <row r="539" spans="1:41" ht="12.75" customHeight="1">
      <c r="A539"/>
      <c r="B53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c r="AN539" s="49"/>
      <c r="AO539" s="49"/>
    </row>
    <row r="540" spans="1:41" ht="12.75" customHeight="1">
      <c r="A540"/>
      <c r="B540"/>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c r="AN540" s="49"/>
      <c r="AO540" s="49"/>
    </row>
    <row r="541" spans="1:41" ht="12.75" customHeight="1">
      <c r="A541"/>
      <c r="B541"/>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row>
    <row r="542" spans="1:41" ht="12.75" customHeight="1">
      <c r="A542"/>
      <c r="B542"/>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row>
    <row r="543" spans="1:41" ht="12.75" customHeight="1">
      <c r="A543"/>
      <c r="B543"/>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row>
    <row r="544" spans="1:41" ht="12.75" customHeight="1">
      <c r="A544"/>
      <c r="B544"/>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row>
    <row r="545" spans="1:41" ht="12.75" customHeight="1">
      <c r="A545"/>
      <c r="B545"/>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row>
    <row r="546" spans="1:41" ht="12.75" customHeight="1">
      <c r="A546"/>
      <c r="B546"/>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row>
    <row r="547" spans="1:41" ht="12.75" customHeight="1">
      <c r="A547"/>
      <c r="B547"/>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row>
    <row r="548" spans="1:41" ht="12.75" customHeight="1">
      <c r="A548"/>
      <c r="B548"/>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row>
    <row r="549" spans="1:41" ht="12.75" customHeight="1">
      <c r="A549"/>
      <c r="B5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row>
    <row r="550" spans="1:41" ht="12.75" customHeight="1">
      <c r="A550"/>
      <c r="B550"/>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row>
    <row r="551" spans="1:41" ht="12.75" customHeight="1">
      <c r="A551"/>
      <c r="B551"/>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row>
    <row r="552" spans="1:41" ht="12.75" customHeight="1">
      <c r="A552"/>
      <c r="B552"/>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row>
    <row r="553" spans="1:41" ht="12.75" customHeight="1">
      <c r="A553"/>
      <c r="B553"/>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row>
    <row r="554" spans="1:41" ht="12.75" customHeight="1">
      <c r="A554"/>
      <c r="B554"/>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row>
    <row r="555" spans="1:41" ht="12.75" customHeight="1">
      <c r="A555"/>
      <c r="B555"/>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row>
    <row r="556" spans="1:41" ht="12.75" customHeight="1">
      <c r="A556"/>
      <c r="B556"/>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row>
    <row r="557" spans="1:41" ht="12.75" customHeight="1">
      <c r="A557"/>
      <c r="B557"/>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row>
    <row r="558" spans="1:41" ht="12.75" customHeight="1">
      <c r="A558"/>
      <c r="B558"/>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row>
    <row r="559" spans="1:41" ht="12.75" customHeight="1">
      <c r="A559"/>
      <c r="B55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row>
    <row r="560" spans="1:41" ht="12.75" customHeight="1">
      <c r="A560"/>
      <c r="B560"/>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row>
    <row r="561" spans="1:41" ht="12.75" customHeight="1">
      <c r="A561"/>
      <c r="B561"/>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row>
    <row r="562" spans="1:41" ht="12.75" customHeight="1">
      <c r="A562"/>
      <c r="B562"/>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row>
    <row r="563" spans="1:41" ht="12.75" customHeight="1">
      <c r="A563"/>
      <c r="B563"/>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row>
    <row r="564" spans="1:41" ht="12.75" customHeight="1">
      <c r="A564"/>
      <c r="B564"/>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row>
    <row r="565" spans="1:41" ht="12.75" customHeight="1">
      <c r="A565"/>
      <c r="B565"/>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c r="AN565" s="49"/>
      <c r="AO565" s="49"/>
    </row>
    <row r="566" spans="1:41" ht="12.75" customHeight="1">
      <c r="A566"/>
      <c r="B566"/>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c r="AN566" s="49"/>
      <c r="AO566" s="49"/>
    </row>
    <row r="567" spans="1:41" ht="12.75" customHeight="1">
      <c r="A567"/>
      <c r="B567"/>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row>
    <row r="568" spans="1:41" ht="12.75" customHeight="1">
      <c r="A568"/>
      <c r="B568"/>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row>
    <row r="569" spans="1:41" ht="12.75" customHeight="1">
      <c r="A569"/>
      <c r="B56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c r="AN569" s="49"/>
      <c r="AO569" s="49"/>
    </row>
    <row r="570" spans="1:41" ht="12.75" customHeight="1">
      <c r="A570"/>
      <c r="B570"/>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row>
    <row r="571" spans="1:41" ht="12.75" customHeight="1">
      <c r="A571"/>
      <c r="B571"/>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c r="AN571" s="49"/>
      <c r="AO571" s="49"/>
    </row>
    <row r="572" spans="1:41" ht="12.75" customHeight="1">
      <c r="A572"/>
      <c r="B572"/>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c r="AN572" s="49"/>
      <c r="AO572" s="49"/>
    </row>
    <row r="573" spans="1:41" ht="12.75" customHeight="1">
      <c r="A573"/>
      <c r="B573"/>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c r="AN573" s="49"/>
      <c r="AO573" s="49"/>
    </row>
    <row r="574" spans="1:41" ht="12.75" customHeight="1">
      <c r="A574"/>
      <c r="B574"/>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c r="AN574" s="49"/>
      <c r="AO574" s="49"/>
    </row>
    <row r="575" spans="1:41" ht="12.75" customHeight="1">
      <c r="A575"/>
      <c r="B575"/>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row>
    <row r="576" spans="1:41" ht="12.75" customHeight="1">
      <c r="A576"/>
      <c r="B576"/>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row>
    <row r="577" spans="1:41" ht="12.75" customHeight="1">
      <c r="A577"/>
      <c r="B577"/>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row>
    <row r="578" spans="1:41" ht="12.75" customHeight="1">
      <c r="A578"/>
      <c r="B578"/>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row>
    <row r="579" spans="1:41" ht="12.75" customHeight="1">
      <c r="A579"/>
      <c r="B57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row>
    <row r="580" spans="1:41" ht="12.75" customHeight="1">
      <c r="A580"/>
      <c r="B580"/>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row>
    <row r="581" spans="1:41" ht="12.75" customHeight="1">
      <c r="A581"/>
      <c r="B581"/>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row>
    <row r="582" spans="1:41" ht="12.75" customHeight="1">
      <c r="A582"/>
      <c r="B582"/>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row>
    <row r="583" spans="1:41" ht="12.75" customHeight="1">
      <c r="A583"/>
      <c r="B583"/>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c r="AN583" s="49"/>
      <c r="AO583" s="49"/>
    </row>
    <row r="584" spans="1:41" ht="12.75" customHeight="1">
      <c r="A584"/>
      <c r="B584"/>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row>
    <row r="585" spans="1:41" ht="12.75" customHeight="1">
      <c r="A585"/>
      <c r="B585"/>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c r="AN585" s="49"/>
      <c r="AO585" s="49"/>
    </row>
    <row r="586" spans="1:41" ht="12.75" customHeight="1">
      <c r="A586"/>
      <c r="B586"/>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c r="AN586" s="49"/>
      <c r="AO586" s="49"/>
    </row>
    <row r="587" spans="1:41" ht="12.75" customHeight="1">
      <c r="A587"/>
      <c r="B587"/>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row>
    <row r="588" spans="1:41" ht="12.75" customHeight="1">
      <c r="A588"/>
      <c r="B588"/>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row>
    <row r="589" spans="1:41" ht="12.75" customHeight="1">
      <c r="A589"/>
      <c r="B58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row>
    <row r="590" spans="1:41" ht="12.75" customHeight="1">
      <c r="A590"/>
      <c r="B590"/>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row>
    <row r="591" spans="1:41" ht="12.75" customHeight="1">
      <c r="A591"/>
      <c r="B591"/>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row>
    <row r="592" spans="1:41" ht="12.75" customHeight="1">
      <c r="A592"/>
      <c r="B592"/>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row>
    <row r="593" spans="1:41" ht="12.75" customHeight="1">
      <c r="A593"/>
      <c r="B593"/>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row>
    <row r="594" spans="1:41" ht="12.75" customHeight="1">
      <c r="A594"/>
      <c r="B594"/>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row>
    <row r="595" spans="1:41" ht="12.75" customHeight="1">
      <c r="A595"/>
      <c r="B595"/>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row>
    <row r="596" spans="1:41" ht="12.75" customHeight="1">
      <c r="A596"/>
      <c r="B596"/>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row>
    <row r="597" spans="1:41" ht="12.75" customHeight="1">
      <c r="A597"/>
      <c r="B597"/>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49"/>
      <c r="AN597" s="49"/>
      <c r="AO597" s="49"/>
    </row>
    <row r="598" spans="1:41" ht="12.75" customHeight="1">
      <c r="A598"/>
      <c r="B598"/>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c r="AN598" s="49"/>
      <c r="AO598" s="49"/>
    </row>
    <row r="599" spans="1:41" ht="12.75" customHeight="1">
      <c r="A599"/>
      <c r="B59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9"/>
      <c r="AN599" s="49"/>
      <c r="AO599" s="49"/>
    </row>
    <row r="600" spans="1:41" ht="12.75" customHeight="1">
      <c r="A600"/>
      <c r="B600"/>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c r="AN600" s="49"/>
      <c r="AO600" s="49"/>
    </row>
    <row r="601" spans="1:41" ht="12.75" customHeight="1">
      <c r="A601"/>
      <c r="B601"/>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c r="AN601" s="49"/>
      <c r="AO601" s="49"/>
    </row>
    <row r="602" spans="1:41" ht="12.75" customHeight="1">
      <c r="A602"/>
      <c r="B602"/>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c r="AN602" s="49"/>
      <c r="AO602" s="49"/>
    </row>
    <row r="603" spans="1:41" ht="12.75" customHeight="1">
      <c r="A603"/>
      <c r="B603"/>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c r="AN603" s="49"/>
      <c r="AO603" s="49"/>
    </row>
    <row r="604" spans="1:41" ht="12.75" customHeight="1">
      <c r="A604"/>
      <c r="B604"/>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c r="AN604" s="49"/>
      <c r="AO604" s="49"/>
    </row>
    <row r="605" spans="1:41" ht="12.75" customHeight="1">
      <c r="A605"/>
      <c r="B605"/>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c r="AN605" s="49"/>
      <c r="AO605" s="49"/>
    </row>
    <row r="606" spans="1:41" ht="12.75" customHeight="1">
      <c r="A606"/>
      <c r="B606"/>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c r="AN606" s="49"/>
      <c r="AO606" s="49"/>
    </row>
    <row r="607" spans="1:41" ht="12.75" customHeight="1">
      <c r="A607"/>
      <c r="B607"/>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c r="AN607" s="49"/>
      <c r="AO607" s="49"/>
    </row>
    <row r="608" spans="1:41" ht="12.75" customHeight="1">
      <c r="A608"/>
      <c r="B608"/>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c r="AN608" s="49"/>
      <c r="AO608" s="49"/>
    </row>
    <row r="609" spans="1:41" ht="12.75" customHeight="1">
      <c r="A609"/>
      <c r="B60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49"/>
      <c r="AN609" s="49"/>
      <c r="AO609" s="49"/>
    </row>
    <row r="610" spans="1:41" ht="12.75" customHeight="1">
      <c r="A610"/>
      <c r="B610"/>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row>
    <row r="611" spans="1:41" ht="12.75" customHeight="1">
      <c r="A611"/>
      <c r="B611"/>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row>
    <row r="612" spans="1:41" ht="12.75" customHeight="1">
      <c r="A612"/>
      <c r="B612"/>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row>
    <row r="613" spans="1:41" ht="12.75" customHeight="1">
      <c r="A613"/>
      <c r="B613"/>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row>
    <row r="614" spans="1:41" ht="12.75" customHeight="1">
      <c r="A614"/>
      <c r="B614"/>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row>
    <row r="615" spans="1:41" ht="12.75" customHeight="1">
      <c r="A615"/>
      <c r="B615"/>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c r="AN615" s="49"/>
      <c r="AO615" s="49"/>
    </row>
    <row r="616" spans="1:41" ht="12.75" customHeight="1">
      <c r="A616"/>
      <c r="B616"/>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c r="AN616" s="49"/>
      <c r="AO616" s="49"/>
    </row>
    <row r="617" spans="1:41" ht="12.75" customHeight="1">
      <c r="A617"/>
      <c r="B617"/>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c r="AN617" s="49"/>
      <c r="AO617" s="49"/>
    </row>
    <row r="618" spans="1:41" ht="12.75" customHeight="1">
      <c r="A618"/>
      <c r="B618"/>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c r="AN618" s="49"/>
      <c r="AO618" s="49"/>
    </row>
    <row r="619" spans="1:41" ht="12.75" customHeight="1">
      <c r="A619"/>
      <c r="B61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c r="AN619" s="49"/>
      <c r="AO619" s="49"/>
    </row>
    <row r="620" spans="1:41" ht="12.75" customHeight="1">
      <c r="A620"/>
      <c r="B620"/>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c r="AN620" s="49"/>
      <c r="AO620" s="49"/>
    </row>
    <row r="621" spans="1:41" ht="12.75" customHeight="1">
      <c r="A621"/>
      <c r="B621"/>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9"/>
      <c r="AM621" s="49"/>
      <c r="AN621" s="49"/>
      <c r="AO621" s="49"/>
    </row>
    <row r="622" spans="1:41" ht="12.75" customHeight="1">
      <c r="A622"/>
      <c r="B622"/>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c r="AN622" s="49"/>
      <c r="AO622" s="49"/>
    </row>
    <row r="623" spans="3:41" ht="12.75">
      <c r="C623" s="39"/>
      <c r="D623" s="39"/>
      <c r="E623" s="39"/>
      <c r="F623" s="39"/>
      <c r="G623" s="39"/>
      <c r="H623" s="39"/>
      <c r="I623" s="104"/>
      <c r="J623" s="104"/>
      <c r="K623" s="104"/>
      <c r="L623" s="104"/>
      <c r="M623" s="104"/>
      <c r="S623" s="39"/>
      <c r="T623" s="39"/>
      <c r="U623" s="39"/>
      <c r="X623" s="49"/>
      <c r="Y623" s="49"/>
      <c r="Z623" s="39"/>
      <c r="AA623" s="39"/>
      <c r="AB623" s="39"/>
      <c r="AC623" s="39"/>
      <c r="AD623" s="39"/>
      <c r="AE623" s="39"/>
      <c r="AF623" s="39"/>
      <c r="AG623" s="39"/>
      <c r="AH623" s="39"/>
      <c r="AI623" s="39"/>
      <c r="AJ623" s="39"/>
      <c r="AK623" s="39"/>
      <c r="AL623" s="39"/>
      <c r="AM623" s="39"/>
      <c r="AN623" s="39"/>
      <c r="AO623" s="39"/>
    </row>
    <row r="624" spans="3:41" ht="12.75">
      <c r="C624" s="39"/>
      <c r="D624" s="39"/>
      <c r="E624" s="39"/>
      <c r="F624" s="39"/>
      <c r="G624" s="39"/>
      <c r="H624" s="39"/>
      <c r="I624" s="104"/>
      <c r="J624" s="104"/>
      <c r="K624" s="104"/>
      <c r="L624" s="104"/>
      <c r="M624" s="104"/>
      <c r="S624" s="39"/>
      <c r="T624" s="39"/>
      <c r="U624" s="39"/>
      <c r="X624" s="49"/>
      <c r="Y624" s="49"/>
      <c r="Z624" s="39"/>
      <c r="AA624" s="39"/>
      <c r="AB624" s="39"/>
      <c r="AC624" s="39"/>
      <c r="AD624" s="39"/>
      <c r="AE624" s="39"/>
      <c r="AF624" s="39"/>
      <c r="AG624" s="39"/>
      <c r="AH624" s="39"/>
      <c r="AI624" s="39"/>
      <c r="AJ624" s="39"/>
      <c r="AK624" s="39"/>
      <c r="AL624" s="39"/>
      <c r="AM624" s="39"/>
      <c r="AN624" s="39"/>
      <c r="AO624" s="39"/>
    </row>
    <row r="625" spans="3:41" ht="12.75">
      <c r="C625" s="39"/>
      <c r="D625" s="39"/>
      <c r="E625" s="39"/>
      <c r="F625" s="39"/>
      <c r="G625" s="39"/>
      <c r="H625" s="39"/>
      <c r="I625" s="104"/>
      <c r="J625" s="104"/>
      <c r="K625" s="104"/>
      <c r="L625" s="104"/>
      <c r="M625" s="104"/>
      <c r="S625" s="39"/>
      <c r="T625" s="39"/>
      <c r="U625" s="39"/>
      <c r="X625" s="49"/>
      <c r="Y625" s="49"/>
      <c r="Z625" s="39"/>
      <c r="AA625" s="39"/>
      <c r="AB625" s="39"/>
      <c r="AC625" s="39"/>
      <c r="AD625" s="39"/>
      <c r="AE625" s="39"/>
      <c r="AF625" s="39"/>
      <c r="AG625" s="39"/>
      <c r="AH625" s="39"/>
      <c r="AI625" s="39"/>
      <c r="AJ625" s="39"/>
      <c r="AK625" s="39"/>
      <c r="AL625" s="39"/>
      <c r="AM625" s="39"/>
      <c r="AN625" s="39"/>
      <c r="AO625" s="39"/>
    </row>
    <row r="626" spans="3:41" ht="12.75">
      <c r="C626" s="39"/>
      <c r="D626" s="39"/>
      <c r="E626" s="39"/>
      <c r="F626" s="39"/>
      <c r="G626" s="39"/>
      <c r="H626" s="39"/>
      <c r="I626" s="104"/>
      <c r="J626" s="104"/>
      <c r="K626" s="104"/>
      <c r="L626" s="104"/>
      <c r="M626" s="104"/>
      <c r="S626" s="39"/>
      <c r="T626" s="39"/>
      <c r="U626" s="39"/>
      <c r="X626" s="49"/>
      <c r="Y626" s="49"/>
      <c r="Z626" s="39"/>
      <c r="AA626" s="39"/>
      <c r="AB626" s="39"/>
      <c r="AC626" s="39"/>
      <c r="AD626" s="39"/>
      <c r="AE626" s="39"/>
      <c r="AF626" s="39"/>
      <c r="AG626" s="39"/>
      <c r="AH626" s="39"/>
      <c r="AI626" s="39"/>
      <c r="AJ626" s="39"/>
      <c r="AK626" s="39"/>
      <c r="AL626" s="39"/>
      <c r="AM626" s="39"/>
      <c r="AN626" s="39"/>
      <c r="AO626" s="39"/>
    </row>
  </sheetData>
  <printOptions gridLines="1" headings="1"/>
  <pageMargins left="0.25" right="0.23" top="1" bottom="1" header="0.5" footer="0.5"/>
  <pageSetup blackAndWhite="1" horizontalDpi="300" verticalDpi="300" orientation="landscape" r:id="rId3"/>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sheetPr codeName="Sheet4"/>
  <dimension ref="A1:BE224"/>
  <sheetViews>
    <sheetView workbookViewId="0" topLeftCell="A124">
      <selection activeCell="C148" sqref="C148"/>
    </sheetView>
  </sheetViews>
  <sheetFormatPr defaultColWidth="9.140625" defaultRowHeight="12.75"/>
  <cols>
    <col min="1" max="1" width="52.00390625" style="0" customWidth="1"/>
    <col min="2" max="2" width="13.140625" style="0" customWidth="1"/>
    <col min="3" max="3" width="17.7109375" style="0" customWidth="1"/>
    <col min="4" max="4" width="13.421875" style="0" customWidth="1"/>
    <col min="5" max="5" width="12.8515625" style="0" customWidth="1"/>
    <col min="6" max="6" width="17.8515625" style="0" customWidth="1"/>
    <col min="7" max="7" width="14.8515625" style="0" customWidth="1"/>
    <col min="8" max="8" width="16.00390625" style="0" customWidth="1"/>
    <col min="9" max="9" width="16.57421875" style="0" customWidth="1"/>
    <col min="10" max="11" width="13.8515625" style="0" customWidth="1"/>
    <col min="12" max="12" width="13.7109375" style="0" customWidth="1"/>
    <col min="13" max="14" width="13.28125" style="0" customWidth="1"/>
    <col min="15" max="15" width="14.57421875" style="0" customWidth="1"/>
    <col min="16" max="16" width="14.00390625" style="0" customWidth="1"/>
    <col min="17" max="17" width="17.7109375" style="0" customWidth="1"/>
    <col min="18" max="18" width="12.00390625" style="0" customWidth="1"/>
    <col min="20" max="20" width="10.8515625" style="0" customWidth="1"/>
  </cols>
  <sheetData>
    <row r="1" spans="1:13" ht="13.5" thickBot="1">
      <c r="A1" s="105" t="s">
        <v>179</v>
      </c>
      <c r="L1" t="s">
        <v>180</v>
      </c>
      <c r="M1" s="106"/>
    </row>
    <row r="2" spans="1:13" ht="13.5" thickBot="1">
      <c r="A2" s="107" t="s">
        <v>118</v>
      </c>
      <c r="B2" s="107" t="s">
        <v>181</v>
      </c>
      <c r="C2" s="108" t="s">
        <v>182</v>
      </c>
      <c r="D2" s="108" t="s">
        <v>183</v>
      </c>
      <c r="E2" s="108" t="s">
        <v>184</v>
      </c>
      <c r="F2" s="108" t="s">
        <v>185</v>
      </c>
      <c r="G2" s="109" t="s">
        <v>186</v>
      </c>
      <c r="L2" t="s">
        <v>187</v>
      </c>
      <c r="M2" s="110"/>
    </row>
    <row r="3" spans="1:17" ht="13.5" thickBot="1">
      <c r="A3" s="111" t="s">
        <v>188</v>
      </c>
      <c r="B3" s="112">
        <v>0.2</v>
      </c>
      <c r="C3" s="112">
        <v>0.4</v>
      </c>
      <c r="D3" s="112">
        <v>0.25</v>
      </c>
      <c r="E3" s="112">
        <v>0.1</v>
      </c>
      <c r="F3" s="112">
        <v>0.05</v>
      </c>
      <c r="G3" s="113">
        <f>SUM(B3:F3)</f>
        <v>1</v>
      </c>
      <c r="H3" s="114" t="s">
        <v>189</v>
      </c>
      <c r="I3" s="115" t="s">
        <v>190</v>
      </c>
      <c r="J3" s="116" t="s">
        <v>191</v>
      </c>
      <c r="N3" s="117">
        <f>SUM(B3:C3)</f>
        <v>0.6000000000000001</v>
      </c>
      <c r="O3" s="117">
        <f>SUM(D3:E3)</f>
        <v>0.35</v>
      </c>
      <c r="P3" s="117">
        <f>F3</f>
        <v>0.05</v>
      </c>
      <c r="Q3" s="117">
        <f>SUM(N3:P3)</f>
        <v>1</v>
      </c>
    </row>
    <row r="4" spans="1:17" ht="12.75">
      <c r="A4" s="118" t="s">
        <v>192</v>
      </c>
      <c r="B4" s="119"/>
      <c r="C4" s="119"/>
      <c r="D4" s="119"/>
      <c r="E4" s="119"/>
      <c r="F4" s="120"/>
      <c r="G4" s="121"/>
      <c r="H4" s="121"/>
      <c r="I4" s="121"/>
      <c r="J4" s="122"/>
      <c r="N4" s="117"/>
      <c r="O4" s="117"/>
      <c r="P4" s="117"/>
      <c r="Q4" s="117">
        <f>SUM(N4:P4)</f>
        <v>0</v>
      </c>
    </row>
    <row r="5" spans="1:17" ht="12.75">
      <c r="A5" s="123" t="s">
        <v>193</v>
      </c>
      <c r="B5" s="124">
        <v>0.35</v>
      </c>
      <c r="C5" s="124">
        <v>0.4</v>
      </c>
      <c r="D5" s="124">
        <v>0.25</v>
      </c>
      <c r="E5" s="124">
        <v>0</v>
      </c>
      <c r="F5" s="125">
        <v>0</v>
      </c>
      <c r="G5" s="126">
        <f>SUM(B5:F5)</f>
        <v>1</v>
      </c>
      <c r="H5" s="127"/>
      <c r="I5" s="127"/>
      <c r="J5" s="128"/>
      <c r="N5" s="117"/>
      <c r="O5" s="117"/>
      <c r="P5" s="117"/>
      <c r="Q5" s="117"/>
    </row>
    <row r="6" spans="1:17" ht="12.75">
      <c r="A6" s="123" t="s">
        <v>194</v>
      </c>
      <c r="B6" s="124">
        <v>0</v>
      </c>
      <c r="C6" s="124">
        <v>0</v>
      </c>
      <c r="D6" s="124">
        <v>0.15</v>
      </c>
      <c r="E6" s="124">
        <v>0.85</v>
      </c>
      <c r="F6" s="125">
        <v>0</v>
      </c>
      <c r="G6" s="126">
        <f>SUM(B6:F6)</f>
        <v>1</v>
      </c>
      <c r="H6" s="127"/>
      <c r="I6" s="127"/>
      <c r="J6" s="128"/>
      <c r="N6" s="117"/>
      <c r="O6" s="117"/>
      <c r="P6" s="117"/>
      <c r="Q6" s="117"/>
    </row>
    <row r="7" spans="1:17" ht="12.75">
      <c r="A7" s="123" t="s">
        <v>195</v>
      </c>
      <c r="B7" s="124">
        <v>0</v>
      </c>
      <c r="C7" s="124">
        <v>0</v>
      </c>
      <c r="D7" s="124">
        <v>0</v>
      </c>
      <c r="E7" s="124">
        <v>0</v>
      </c>
      <c r="F7" s="125">
        <v>1</v>
      </c>
      <c r="G7" s="126">
        <f>SUM(B7:F7)</f>
        <v>1</v>
      </c>
      <c r="H7" s="127"/>
      <c r="I7" s="127"/>
      <c r="J7" s="128"/>
      <c r="N7" s="117"/>
      <c r="O7" s="117"/>
      <c r="P7" s="117"/>
      <c r="Q7" s="117"/>
    </row>
    <row r="8" spans="1:17" ht="13.5" thickBot="1">
      <c r="A8" s="129" t="s">
        <v>196</v>
      </c>
      <c r="B8" s="130">
        <v>4461</v>
      </c>
      <c r="C8" s="130">
        <v>4867</v>
      </c>
      <c r="D8" s="130">
        <v>6001</v>
      </c>
      <c r="E8" s="130">
        <v>6888</v>
      </c>
      <c r="F8" s="130">
        <v>7980</v>
      </c>
      <c r="G8" s="131">
        <f>SUMPRODUCT(B$3:F$3,B8:F8)</f>
        <v>5427.05</v>
      </c>
      <c r="H8" s="131">
        <f>SUMPRODUCT(B$5:F$5,B8:F8)</f>
        <v>5008.4</v>
      </c>
      <c r="I8" s="131">
        <f>SUMPRODUCT(B$6:F$6,B8:F8)</f>
        <v>6754.95</v>
      </c>
      <c r="J8" s="132">
        <f>SUMPRODUCT(B$7:F$7,B8:F8)</f>
        <v>7980</v>
      </c>
      <c r="N8" s="117"/>
      <c r="O8" s="117"/>
      <c r="P8" s="117"/>
      <c r="Q8" s="117"/>
    </row>
    <row r="9" spans="1:17" ht="13.5" thickBot="1">
      <c r="A9" s="133" t="s">
        <v>118</v>
      </c>
      <c r="B9" s="134" t="s">
        <v>181</v>
      </c>
      <c r="C9" s="134" t="s">
        <v>182</v>
      </c>
      <c r="D9" s="134" t="s">
        <v>183</v>
      </c>
      <c r="E9" s="134" t="s">
        <v>184</v>
      </c>
      <c r="F9" s="134" t="s">
        <v>185</v>
      </c>
      <c r="G9" s="135" t="s">
        <v>186</v>
      </c>
      <c r="H9" s="115" t="s">
        <v>169</v>
      </c>
      <c r="I9" s="115" t="s">
        <v>168</v>
      </c>
      <c r="J9" s="116" t="s">
        <v>167</v>
      </c>
      <c r="N9" s="117">
        <f>SUM(B10:C10)</f>
        <v>0.55</v>
      </c>
      <c r="O9" s="117">
        <f>SUM(D10:E10)</f>
        <v>0.2</v>
      </c>
      <c r="P9" s="117">
        <f>F10</f>
        <v>0.25</v>
      </c>
      <c r="Q9" s="117">
        <f>SUM(N9:P9)</f>
        <v>1</v>
      </c>
    </row>
    <row r="10" spans="1:10" ht="12.75">
      <c r="A10" s="136" t="s">
        <v>197</v>
      </c>
      <c r="B10" s="124">
        <v>0.2</v>
      </c>
      <c r="C10" s="124">
        <v>0.35</v>
      </c>
      <c r="D10" s="124">
        <v>0.05</v>
      </c>
      <c r="E10" s="124">
        <v>0.15</v>
      </c>
      <c r="F10" s="125">
        <v>0.25</v>
      </c>
      <c r="G10" s="137">
        <f>SUM(B10:F10)</f>
        <v>1</v>
      </c>
      <c r="H10" s="121"/>
      <c r="I10" s="122"/>
      <c r="J10" s="122"/>
    </row>
    <row r="11" spans="1:10" ht="12.75">
      <c r="A11" s="138" t="s">
        <v>192</v>
      </c>
      <c r="B11" s="119"/>
      <c r="C11" s="119"/>
      <c r="D11" s="119"/>
      <c r="E11" s="119"/>
      <c r="F11" s="139"/>
      <c r="G11" s="127"/>
      <c r="H11" s="127"/>
      <c r="I11" s="127"/>
      <c r="J11" s="128"/>
    </row>
    <row r="12" spans="1:10" ht="12.75">
      <c r="A12" s="123" t="s">
        <v>193</v>
      </c>
      <c r="B12" s="124">
        <v>0</v>
      </c>
      <c r="C12" s="124">
        <v>0.85</v>
      </c>
      <c r="D12" s="124">
        <v>0</v>
      </c>
      <c r="E12" s="124">
        <v>0</v>
      </c>
      <c r="F12" s="125">
        <v>0.15</v>
      </c>
      <c r="G12" s="126">
        <f>SUM(B12:F12)</f>
        <v>1</v>
      </c>
      <c r="H12" s="127"/>
      <c r="I12" s="127"/>
      <c r="J12" s="128"/>
    </row>
    <row r="13" spans="1:10" ht="12.75">
      <c r="A13" s="123" t="s">
        <v>194</v>
      </c>
      <c r="B13" s="124">
        <v>0.4</v>
      </c>
      <c r="C13" s="124">
        <v>0</v>
      </c>
      <c r="D13" s="124">
        <v>0</v>
      </c>
      <c r="E13" s="124">
        <v>0.6</v>
      </c>
      <c r="F13" s="125">
        <v>0</v>
      </c>
      <c r="G13" s="126">
        <f>SUM(B13:F13)</f>
        <v>1</v>
      </c>
      <c r="H13" s="127"/>
      <c r="I13" s="127"/>
      <c r="J13" s="128"/>
    </row>
    <row r="14" spans="1:10" ht="12.75">
      <c r="A14" s="123" t="s">
        <v>195</v>
      </c>
      <c r="B14" s="124">
        <v>0</v>
      </c>
      <c r="C14" s="124">
        <v>0</v>
      </c>
      <c r="D14" s="124">
        <v>1</v>
      </c>
      <c r="E14" s="124">
        <v>0</v>
      </c>
      <c r="F14" s="125">
        <v>0</v>
      </c>
      <c r="G14" s="126">
        <f>SUM(B14:F14)</f>
        <v>1</v>
      </c>
      <c r="H14" s="127"/>
      <c r="I14" s="127"/>
      <c r="J14" s="128"/>
    </row>
    <row r="15" spans="1:10" ht="13.5" thickBot="1">
      <c r="A15" s="129" t="s">
        <v>198</v>
      </c>
      <c r="B15" s="130">
        <v>486</v>
      </c>
      <c r="C15" s="130">
        <v>271</v>
      </c>
      <c r="D15" s="130">
        <v>990</v>
      </c>
      <c r="E15" s="130">
        <v>633</v>
      </c>
      <c r="F15" s="130">
        <v>596</v>
      </c>
      <c r="G15" s="131">
        <f>SUMPRODUCT(B$10:F$10,B15:F15)</f>
        <v>485.5</v>
      </c>
      <c r="H15" s="131">
        <f>SUMPRODUCT(B$12:F$12,B15:F15)</f>
        <v>319.75</v>
      </c>
      <c r="I15" s="131">
        <f>SUMPRODUCT(B$13:F$13,B15:F15)</f>
        <v>574.2</v>
      </c>
      <c r="J15" s="132">
        <f>SUMPRODUCT(B$14:F$14,$B15:$F15)</f>
        <v>990</v>
      </c>
    </row>
    <row r="16" spans="1:6" ht="12.75">
      <c r="A16" t="s">
        <v>199</v>
      </c>
      <c r="B16" s="140"/>
      <c r="C16" s="140"/>
      <c r="D16" s="140"/>
      <c r="E16" s="140"/>
      <c r="F16" s="140"/>
    </row>
    <row r="17" spans="2:6" ht="12.75">
      <c r="B17" s="140"/>
      <c r="C17" s="140"/>
      <c r="D17" s="141"/>
      <c r="E17" s="141"/>
      <c r="F17" s="140"/>
    </row>
    <row r="18" ht="13.5" thickBot="1">
      <c r="A18" s="105" t="s">
        <v>200</v>
      </c>
    </row>
    <row r="19" spans="1:3" ht="13.5" thickBot="1">
      <c r="A19" s="468" t="s">
        <v>201</v>
      </c>
      <c r="B19" s="469"/>
      <c r="C19" s="143">
        <f>B99</f>
        <v>6.4350000000000005</v>
      </c>
    </row>
    <row r="20" spans="1:10" ht="13.5" thickBot="1">
      <c r="A20" s="114" t="s">
        <v>202</v>
      </c>
      <c r="B20" s="115" t="s">
        <v>181</v>
      </c>
      <c r="C20" s="115" t="s">
        <v>182</v>
      </c>
      <c r="D20" s="115" t="s">
        <v>183</v>
      </c>
      <c r="E20" s="115" t="s">
        <v>184</v>
      </c>
      <c r="F20" s="115" t="s">
        <v>185</v>
      </c>
      <c r="G20" s="116" t="s">
        <v>186</v>
      </c>
      <c r="H20" s="115" t="s">
        <v>169</v>
      </c>
      <c r="I20" s="116" t="s">
        <v>203</v>
      </c>
      <c r="J20" s="115" t="s">
        <v>167</v>
      </c>
    </row>
    <row r="21" spans="1:12" ht="12.75">
      <c r="A21" s="339" t="s">
        <v>386</v>
      </c>
      <c r="B21" s="144">
        <f>B112</f>
        <v>1149.1854134735365</v>
      </c>
      <c r="C21" s="144">
        <f>E112</f>
        <v>639.0063031611429</v>
      </c>
      <c r="D21" s="144">
        <f>H112</f>
        <v>2219.502952349846</v>
      </c>
      <c r="E21" s="144">
        <f>K112</f>
        <v>1544.2597254926916</v>
      </c>
      <c r="F21" s="144">
        <f>N112</f>
        <v>1465.2855517116031</v>
      </c>
      <c r="G21" s="145">
        <f>SUMPRODUCT(B$10:F$10,B21:F21)</f>
        <v>1162.4247831704042</v>
      </c>
      <c r="H21" s="145">
        <f>SUMPRODUCT(B$12:F$12,B21:F21)</f>
        <v>762.948190443712</v>
      </c>
      <c r="I21" s="145">
        <f>SUMPRODUCT(B$13:F$13,B21:F21)</f>
        <v>1386.2300006850296</v>
      </c>
      <c r="J21" s="146">
        <f>SUMPRODUCT(B$14:F$14,$B21:$F21)</f>
        <v>2219.502952349846</v>
      </c>
      <c r="L21" s="147" t="s">
        <v>204</v>
      </c>
    </row>
    <row r="22" spans="1:12" ht="12.75">
      <c r="A22" s="339" t="s">
        <v>384</v>
      </c>
      <c r="B22" s="148">
        <f>C112</f>
        <v>905.0934378907501</v>
      </c>
      <c r="C22" s="148">
        <f>F112</f>
        <v>462.63509034166503</v>
      </c>
      <c r="D22" s="148">
        <f>I112</f>
        <v>2418.290022810945</v>
      </c>
      <c r="E22" s="148">
        <f>L112</f>
        <v>1337.2641578674147</v>
      </c>
      <c r="F22" s="148">
        <f>O112</f>
        <v>1250.5136897685811</v>
      </c>
      <c r="G22" s="148">
        <f>SUMPRODUCT(B$10:F$10,B22:F22)</f>
        <v>977.0735164605375</v>
      </c>
      <c r="H22" s="148">
        <f>SUMPRODUCT(B$12:F$12,B22:F22)</f>
        <v>580.8168802557025</v>
      </c>
      <c r="I22" s="148">
        <f>SUMPRODUCT(B$13:F$13,B22:F22)</f>
        <v>1164.3958698767487</v>
      </c>
      <c r="J22" s="149">
        <f>SUMPRODUCT(B$14:F$14,$B22:$F22)</f>
        <v>2418.290022810945</v>
      </c>
      <c r="L22" s="147" t="s">
        <v>205</v>
      </c>
    </row>
    <row r="23" spans="1:10" ht="13.5" thickBot="1">
      <c r="A23" s="339" t="s">
        <v>385</v>
      </c>
      <c r="B23" s="131">
        <f>D112</f>
        <v>615.7214531762494</v>
      </c>
      <c r="C23" s="131">
        <f>G112</f>
        <v>297.0600744422037</v>
      </c>
      <c r="D23" s="131">
        <f>J112</f>
        <v>1735.8581273297486</v>
      </c>
      <c r="E23" s="131">
        <f>M112</f>
        <v>946.2479079697836</v>
      </c>
      <c r="F23" s="131">
        <f>P112</f>
        <v>872.215152365873</v>
      </c>
      <c r="G23" s="131">
        <f>SUMPRODUCT(B$10:F$10,B23:F23)</f>
        <v>673.8991973434444</v>
      </c>
      <c r="H23" s="131">
        <f>SUMPRODUCT(B$12:F$12,B23:F23)</f>
        <v>383.3333361307541</v>
      </c>
      <c r="I23" s="131">
        <f>SUMPRODUCT(B$13:F$13,B23:F23)</f>
        <v>814.0373260523698</v>
      </c>
      <c r="J23" s="132">
        <f>SUMPRODUCT(B$14:F$14,$B23:$F23)</f>
        <v>1735.8581273297486</v>
      </c>
    </row>
    <row r="24" spans="1:8" ht="12.75">
      <c r="A24" s="16" t="s">
        <v>206</v>
      </c>
      <c r="B24" s="150"/>
      <c r="C24" s="150"/>
      <c r="D24" s="150"/>
      <c r="E24" s="150"/>
      <c r="F24" s="150"/>
      <c r="G24" s="150"/>
      <c r="H24" s="103"/>
    </row>
    <row r="25" spans="1:8" ht="13.5" thickBot="1">
      <c r="A25" s="105" t="s">
        <v>207</v>
      </c>
      <c r="H25" s="103"/>
    </row>
    <row r="26" spans="1:8" ht="13.5" thickBot="1">
      <c r="A26" s="468" t="s">
        <v>201</v>
      </c>
      <c r="B26" s="469"/>
      <c r="C26" s="143">
        <f>B106</f>
        <v>7.800000000000001</v>
      </c>
      <c r="D26" s="142"/>
      <c r="E26" s="142"/>
      <c r="F26" s="142"/>
      <c r="G26" s="151"/>
      <c r="H26" s="103"/>
    </row>
    <row r="27" spans="1:10" ht="13.5" thickBot="1">
      <c r="A27" s="114" t="s">
        <v>202</v>
      </c>
      <c r="B27" s="115" t="s">
        <v>181</v>
      </c>
      <c r="C27" s="115" t="s">
        <v>182</v>
      </c>
      <c r="D27" s="115" t="s">
        <v>183</v>
      </c>
      <c r="E27" s="115" t="s">
        <v>184</v>
      </c>
      <c r="F27" s="115" t="s">
        <v>185</v>
      </c>
      <c r="G27" s="116" t="s">
        <v>186</v>
      </c>
      <c r="H27" s="115" t="s">
        <v>169</v>
      </c>
      <c r="I27" s="116" t="s">
        <v>203</v>
      </c>
      <c r="J27" s="115" t="s">
        <v>167</v>
      </c>
    </row>
    <row r="28" spans="1:10" ht="12.75">
      <c r="A28" s="339" t="s">
        <v>386</v>
      </c>
      <c r="B28" s="144">
        <f>B120</f>
        <v>836.5393818667657</v>
      </c>
      <c r="C28" s="144">
        <f>E120</f>
        <v>465.15900009524375</v>
      </c>
      <c r="D28" s="144">
        <f>H120</f>
        <v>1615.6675903134912</v>
      </c>
      <c r="E28" s="144">
        <f>K120</f>
        <v>1124.1302413512976</v>
      </c>
      <c r="F28" s="144">
        <f>N120</f>
        <v>1066.6416883782995</v>
      </c>
      <c r="G28" s="145">
        <f>SUMPRODUCT(B$10:F$10,B28:F28)</f>
        <v>846.1768642196325</v>
      </c>
      <c r="H28" s="145">
        <f>SUMPRODUCT(B$12:F$12,B28:F28)</f>
        <v>555.3814033377021</v>
      </c>
      <c r="I28" s="145">
        <f>SUMPRODUCT(B$13:F$13,B28:F28)</f>
        <v>1009.0938975574848</v>
      </c>
      <c r="J28" s="146">
        <f>SUMPRODUCT(B$14:F$14,$B28:$F28)</f>
        <v>1615.6675903134912</v>
      </c>
    </row>
    <row r="29" spans="1:10" ht="12.75">
      <c r="A29" s="339" t="s">
        <v>384</v>
      </c>
      <c r="B29" s="148">
        <f>C120</f>
        <v>663.7351877865502</v>
      </c>
      <c r="C29" s="148">
        <f>F120</f>
        <v>339.26573291722104</v>
      </c>
      <c r="D29" s="148">
        <f>I120</f>
        <v>1773.4126833946934</v>
      </c>
      <c r="E29" s="148">
        <f>L120</f>
        <v>980.6603824361042</v>
      </c>
      <c r="F29" s="148">
        <f>O120</f>
        <v>917.0433724969596</v>
      </c>
      <c r="G29" s="148">
        <f>SUMPRODUCT(B$10:F$10,B29:F29)</f>
        <v>716.5205787377276</v>
      </c>
      <c r="H29" s="148">
        <f>SUMPRODUCT(B$12:F$12,B29:F29)</f>
        <v>425.9323788541818</v>
      </c>
      <c r="I29" s="148">
        <f>SUMPRODUCT(B$13:F$13,B29:F29)</f>
        <v>853.8903045762827</v>
      </c>
      <c r="J29" s="149">
        <f>SUMPRODUCT(B$14:F$14,$B29:$F29)</f>
        <v>1773.4126833946934</v>
      </c>
    </row>
    <row r="30" spans="1:10" ht="13.5" thickBot="1">
      <c r="A30" s="339" t="s">
        <v>385</v>
      </c>
      <c r="B30" s="131">
        <f>D120</f>
        <v>453.34974737896437</v>
      </c>
      <c r="C30" s="131">
        <f>G120</f>
        <v>218.72245803688062</v>
      </c>
      <c r="D30" s="131">
        <f>J120</f>
        <v>1278.0955405258555</v>
      </c>
      <c r="E30" s="131">
        <f>M120</f>
        <v>696.7131774003327</v>
      </c>
      <c r="F30" s="131">
        <f>P120</f>
        <v>642.2035758951952</v>
      </c>
      <c r="G30" s="131">
        <f>SUMPRODUCT(B$10:F$10,B30:F30)</f>
        <v>496.1854573988426</v>
      </c>
      <c r="H30" s="131">
        <f>SUMPRODUCT(B$12:F$12,B30:F30)</f>
        <v>282.24462571562776</v>
      </c>
      <c r="I30" s="131">
        <f>SUMPRODUCT(B$13:F$13,B30:F30)</f>
        <v>599.3678053917854</v>
      </c>
      <c r="J30" s="132">
        <f>SUMPRODUCT(B$14:F$14,$B30:$F30)</f>
        <v>1278.0955405258555</v>
      </c>
    </row>
    <row r="31" spans="1:8" ht="12.75">
      <c r="A31" s="16"/>
      <c r="B31" s="150"/>
      <c r="C31" s="150"/>
      <c r="D31" s="150"/>
      <c r="E31" s="150"/>
      <c r="F31" s="150"/>
      <c r="G31" s="150"/>
      <c r="H31" s="103"/>
    </row>
    <row r="32" spans="1:8" ht="13.5" thickBot="1">
      <c r="A32" s="105" t="s">
        <v>208</v>
      </c>
      <c r="B32" s="150"/>
      <c r="C32" s="150"/>
      <c r="D32" s="150"/>
      <c r="E32" s="150"/>
      <c r="F32" s="150"/>
      <c r="G32" s="150"/>
      <c r="H32" s="103"/>
    </row>
    <row r="33" spans="1:8" ht="13.5" thickBot="1">
      <c r="A33" s="468" t="s">
        <v>209</v>
      </c>
      <c r="B33" s="469"/>
      <c r="C33" s="143">
        <f>B106</f>
        <v>7.800000000000001</v>
      </c>
      <c r="D33" s="150"/>
      <c r="E33" s="150"/>
      <c r="F33" s="150"/>
      <c r="G33" s="150"/>
      <c r="H33" s="103"/>
    </row>
    <row r="34" spans="1:10" ht="13.5" thickBot="1">
      <c r="A34" s="114" t="s">
        <v>202</v>
      </c>
      <c r="B34" s="115" t="s">
        <v>181</v>
      </c>
      <c r="C34" s="115" t="s">
        <v>182</v>
      </c>
      <c r="D34" s="115" t="s">
        <v>183</v>
      </c>
      <c r="E34" s="115" t="s">
        <v>184</v>
      </c>
      <c r="F34" s="115" t="s">
        <v>185</v>
      </c>
      <c r="G34" s="152" t="s">
        <v>186</v>
      </c>
      <c r="H34" s="115" t="s">
        <v>169</v>
      </c>
      <c r="I34" s="116" t="s">
        <v>203</v>
      </c>
      <c r="J34" s="115" t="s">
        <v>167</v>
      </c>
    </row>
    <row r="35" spans="1:10" ht="12.75">
      <c r="A35" s="339" t="s">
        <v>386</v>
      </c>
      <c r="B35" s="144">
        <f aca="true" t="shared" si="0" ref="B35:F37">B21-B28</f>
        <v>312.64603160677086</v>
      </c>
      <c r="C35" s="144">
        <f t="shared" si="0"/>
        <v>173.84730306589915</v>
      </c>
      <c r="D35" s="144">
        <f t="shared" si="0"/>
        <v>603.8353620363548</v>
      </c>
      <c r="E35" s="144">
        <f t="shared" si="0"/>
        <v>420.12948414139396</v>
      </c>
      <c r="F35" s="144">
        <f t="shared" si="0"/>
        <v>398.64386333330367</v>
      </c>
      <c r="G35" s="153">
        <f>SUMPRODUCT(B$10:F$10,B35:F35)</f>
        <v>316.2479189507716</v>
      </c>
      <c r="H35" s="144">
        <f aca="true" t="shared" si="1" ref="H35:J37">H21-H28</f>
        <v>207.56678710600988</v>
      </c>
      <c r="I35" s="154">
        <f t="shared" si="1"/>
        <v>377.13610312754486</v>
      </c>
      <c r="J35" s="144">
        <f t="shared" si="1"/>
        <v>603.8353620363548</v>
      </c>
    </row>
    <row r="36" spans="1:10" ht="12.75">
      <c r="A36" s="339" t="s">
        <v>384</v>
      </c>
      <c r="B36" s="148">
        <f t="shared" si="0"/>
        <v>241.3582501041999</v>
      </c>
      <c r="C36" s="148">
        <f t="shared" si="0"/>
        <v>123.36935742444399</v>
      </c>
      <c r="D36" s="148">
        <f t="shared" si="0"/>
        <v>644.8773394162517</v>
      </c>
      <c r="E36" s="148">
        <f t="shared" si="0"/>
        <v>356.6037754313105</v>
      </c>
      <c r="F36" s="148">
        <f t="shared" si="0"/>
        <v>333.4703172716215</v>
      </c>
      <c r="G36" s="155">
        <f>SUMPRODUCT(B$10:F$10,B36:F36)</f>
        <v>260.55293772280993</v>
      </c>
      <c r="H36" s="148">
        <f t="shared" si="1"/>
        <v>154.88450140152065</v>
      </c>
      <c r="I36" s="149">
        <f t="shared" si="1"/>
        <v>310.50556530046606</v>
      </c>
      <c r="J36" s="148">
        <f t="shared" si="1"/>
        <v>644.8773394162517</v>
      </c>
    </row>
    <row r="37" spans="1:10" ht="13.5" thickBot="1">
      <c r="A37" s="339" t="s">
        <v>385</v>
      </c>
      <c r="B37" s="131">
        <f t="shared" si="0"/>
        <v>162.37170579728502</v>
      </c>
      <c r="C37" s="131">
        <f t="shared" si="0"/>
        <v>78.33761640532308</v>
      </c>
      <c r="D37" s="131">
        <f t="shared" si="0"/>
        <v>457.7625868038931</v>
      </c>
      <c r="E37" s="131">
        <f t="shared" si="0"/>
        <v>249.53473056945086</v>
      </c>
      <c r="F37" s="131">
        <f t="shared" si="0"/>
        <v>230.01157647067782</v>
      </c>
      <c r="G37" s="156">
        <f>SUMPRODUCT(B$10:F$10,B37:F37)</f>
        <v>177.7137399446018</v>
      </c>
      <c r="H37" s="131">
        <f t="shared" si="1"/>
        <v>101.08871041512634</v>
      </c>
      <c r="I37" s="132">
        <f t="shared" si="1"/>
        <v>214.66952066058445</v>
      </c>
      <c r="J37" s="131">
        <f t="shared" si="1"/>
        <v>457.7625868038931</v>
      </c>
    </row>
    <row r="38" spans="1:8" ht="12.75">
      <c r="A38" s="16"/>
      <c r="B38" s="150"/>
      <c r="C38" s="150"/>
      <c r="D38" s="150"/>
      <c r="E38" s="150"/>
      <c r="F38" s="150"/>
      <c r="G38" s="150"/>
      <c r="H38" s="103"/>
    </row>
    <row r="39" spans="1:8" ht="13.5" thickBot="1">
      <c r="A39" s="157" t="s">
        <v>210</v>
      </c>
      <c r="B39" s="150"/>
      <c r="C39" s="150"/>
      <c r="D39" s="150"/>
      <c r="E39" s="150"/>
      <c r="F39" s="150"/>
      <c r="G39" s="150"/>
      <c r="H39" s="103"/>
    </row>
    <row r="40" spans="1:8" ht="13.5" thickBot="1">
      <c r="A40" s="468" t="s">
        <v>211</v>
      </c>
      <c r="B40" s="469"/>
      <c r="C40" s="470"/>
      <c r="D40" s="150"/>
      <c r="E40" s="150"/>
      <c r="F40" s="150"/>
      <c r="G40" s="150"/>
      <c r="H40" s="103"/>
    </row>
    <row r="41" spans="1:10" ht="13.5" thickBot="1">
      <c r="A41" s="114" t="s">
        <v>202</v>
      </c>
      <c r="B41" s="115" t="s">
        <v>181</v>
      </c>
      <c r="C41" s="115" t="s">
        <v>182</v>
      </c>
      <c r="D41" s="115" t="s">
        <v>183</v>
      </c>
      <c r="E41" s="115" t="s">
        <v>184</v>
      </c>
      <c r="F41" s="115" t="s">
        <v>185</v>
      </c>
      <c r="G41" s="116" t="s">
        <v>186</v>
      </c>
      <c r="H41" s="158" t="s">
        <v>189</v>
      </c>
      <c r="I41" s="158" t="s">
        <v>190</v>
      </c>
      <c r="J41" s="158" t="s">
        <v>191</v>
      </c>
    </row>
    <row r="42" spans="1:10" ht="12.75">
      <c r="A42" s="339" t="s">
        <v>386</v>
      </c>
      <c r="B42" s="144">
        <f>B93</f>
        <v>5235.685511573807</v>
      </c>
      <c r="C42" s="144">
        <f>E93</f>
        <v>5996.8408512864635</v>
      </c>
      <c r="D42" s="144">
        <f>H93</f>
        <v>7680.419535694032</v>
      </c>
      <c r="E42" s="144">
        <f>K93</f>
        <v>9003.231359157162</v>
      </c>
      <c r="F42" s="144">
        <f>N93</f>
        <v>10610.288526279455</v>
      </c>
      <c r="G42" s="145">
        <f>SUMPRODUCT(B$3:F$3,B42:F42)</f>
        <v>6796.8158889825445</v>
      </c>
      <c r="H42" s="145">
        <f>SUMPRODUCT(B$5:F$5,B42:F42)</f>
        <v>6151.331153488926</v>
      </c>
      <c r="I42" s="145">
        <f>SUMPRODUCT(B$6:F$6,B42:F42)</f>
        <v>8804.809585637693</v>
      </c>
      <c r="J42" s="145">
        <f>SUMPRODUCT(B$7:F$7,B42:F42)</f>
        <v>10610.288526279455</v>
      </c>
    </row>
    <row r="43" spans="1:10" ht="12.75">
      <c r="A43" s="339" t="s">
        <v>384</v>
      </c>
      <c r="B43" s="148">
        <f>C93</f>
        <v>7181.449668627228</v>
      </c>
      <c r="C43" s="148">
        <f>F93</f>
        <v>8225.937165802428</v>
      </c>
      <c r="D43" s="148">
        <f>I93</f>
        <v>10560.77361043584</v>
      </c>
      <c r="E43" s="148">
        <f>L93</f>
        <v>12395.287959790552</v>
      </c>
      <c r="F43" s="148">
        <f>O93</f>
        <v>14692.447597109136</v>
      </c>
      <c r="G43" s="148">
        <f>SUMPRODUCT(B$3:F$3,B43:F43)</f>
        <v>9341.009378489889</v>
      </c>
      <c r="H43" s="148">
        <f>SUMPRODUCT(B$5:F$5,B43:F43)</f>
        <v>8444.075652949461</v>
      </c>
      <c r="I43" s="148">
        <f>SUMPRODUCT(B$6:F$6,B43:F43)</f>
        <v>12120.110807387346</v>
      </c>
      <c r="J43" s="148">
        <f>SUMPRODUCT(B$7:F$7,B43:F43)</f>
        <v>14692.447597109136</v>
      </c>
    </row>
    <row r="44" spans="1:12" ht="13.5" thickBot="1">
      <c r="A44" s="339" t="s">
        <v>385</v>
      </c>
      <c r="B44" s="131">
        <f>D93</f>
        <v>4992.9540671015</v>
      </c>
      <c r="C44" s="131">
        <f>G93</f>
        <v>5425.610179847998</v>
      </c>
      <c r="D44" s="131">
        <f>J93</f>
        <v>7165.56841390285</v>
      </c>
      <c r="E44" s="131">
        <f>M93</f>
        <v>8566.706380864907</v>
      </c>
      <c r="F44" s="131">
        <f>P93</f>
        <v>10172.14353863655</v>
      </c>
      <c r="G44" s="148">
        <f>SUMPRODUCT(B$3:F$3,B44:F44)</f>
        <v>6325.504803853531</v>
      </c>
      <c r="H44" s="148">
        <f>SUMPRODUCT(B$5:F$5,B44:F44)</f>
        <v>5709.170098900437</v>
      </c>
      <c r="I44" s="148">
        <f>SUMPRODUCT(B$6:F$6,B44:F44)</f>
        <v>8356.5356858206</v>
      </c>
      <c r="J44" s="148">
        <f>SUMPRODUCT(B$7:F$7,B44:F44)</f>
        <v>10172.14353863655</v>
      </c>
      <c r="L44" t="s">
        <v>212</v>
      </c>
    </row>
    <row r="45" spans="1:12" ht="12.75">
      <c r="A45" s="16"/>
      <c r="B45" s="159">
        <f>B44/2300</f>
        <v>2.1708495943919566</v>
      </c>
      <c r="C45" s="159">
        <f>C44/2300</f>
        <v>2.358960947759999</v>
      </c>
      <c r="D45" s="159">
        <f>D44/2300</f>
        <v>3.115464527783848</v>
      </c>
      <c r="E45" s="159">
        <f>E44/2300</f>
        <v>3.7246549482021334</v>
      </c>
      <c r="F45" s="159">
        <f>F44/2300</f>
        <v>4.422671103755022</v>
      </c>
      <c r="G45" s="160">
        <f>SUMPRODUCT(B$3:F$3,B45:F45)</f>
        <v>2.7502194799363173</v>
      </c>
      <c r="H45" s="160">
        <f>SUMPRODUCT(B$5:F$5,B45:F45)</f>
        <v>2.4822478690871463</v>
      </c>
      <c r="I45" s="160">
        <f>SUMPRODUCT(B$6:F$6,B45:F45)</f>
        <v>3.6332763851393906</v>
      </c>
      <c r="J45" s="160">
        <f>SUMPRODUCT(B$7:F$7,B45:F45)</f>
        <v>4.422671103755022</v>
      </c>
      <c r="L45" t="s">
        <v>213</v>
      </c>
    </row>
    <row r="46" ht="13.5" thickBot="1">
      <c r="A46" s="105" t="s">
        <v>214</v>
      </c>
    </row>
    <row r="47" spans="1:7" ht="13.5" thickBot="1">
      <c r="A47" s="468" t="s">
        <v>215</v>
      </c>
      <c r="B47" s="469"/>
      <c r="C47" s="143">
        <f>B97</f>
        <v>5.59125</v>
      </c>
      <c r="D47" s="150"/>
      <c r="E47" s="150"/>
      <c r="F47" s="150"/>
      <c r="G47" s="150"/>
    </row>
    <row r="48" spans="1:10" ht="13.5" thickBot="1">
      <c r="A48" s="114" t="s">
        <v>202</v>
      </c>
      <c r="B48" s="115" t="s">
        <v>181</v>
      </c>
      <c r="C48" s="115" t="s">
        <v>182</v>
      </c>
      <c r="D48" s="115" t="s">
        <v>183</v>
      </c>
      <c r="E48" s="115" t="s">
        <v>184</v>
      </c>
      <c r="F48" s="115" t="s">
        <v>185</v>
      </c>
      <c r="G48" s="116" t="s">
        <v>186</v>
      </c>
      <c r="H48" s="158" t="s">
        <v>189</v>
      </c>
      <c r="I48" s="158" t="s">
        <v>190</v>
      </c>
      <c r="J48" s="158" t="s">
        <v>191</v>
      </c>
    </row>
    <row r="49" spans="1:10" ht="12.75">
      <c r="A49" s="339" t="s">
        <v>386</v>
      </c>
      <c r="B49" s="144">
        <f>B111</f>
        <v>4261.276017825806</v>
      </c>
      <c r="C49" s="144">
        <f>E111</f>
        <v>4927.703822183868</v>
      </c>
      <c r="D49" s="144">
        <f>H111</f>
        <v>7057.605970437339</v>
      </c>
      <c r="E49" s="144">
        <f>K111</f>
        <v>8273.149545843713</v>
      </c>
      <c r="F49" s="144">
        <f>N111</f>
        <v>10188.085946142472</v>
      </c>
      <c r="G49" s="145">
        <f>SUMPRODUCT(B$3:F$3,B49:F49)</f>
        <v>5924.4574769395385</v>
      </c>
      <c r="H49" s="145">
        <f>SUMPRODUCT(B$5:F$5,B49:F49)</f>
        <v>5226.929627721915</v>
      </c>
      <c r="I49" s="145">
        <f>SUMPRODUCT(B$6:F$6,B49:F49)</f>
        <v>8090.818009532756</v>
      </c>
      <c r="J49" s="145">
        <f>SUMPRODUCT(B$7:F$7,B49:F49)</f>
        <v>10188.085946142472</v>
      </c>
    </row>
    <row r="50" spans="1:10" ht="12.75">
      <c r="A50" s="339" t="s">
        <v>384</v>
      </c>
      <c r="B50" s="148">
        <f>C111</f>
        <v>5479.608253750218</v>
      </c>
      <c r="C50" s="148">
        <f>F111</f>
        <v>6336.927488913796</v>
      </c>
      <c r="D50" s="148">
        <f>I111</f>
        <v>9097.8646909025</v>
      </c>
      <c r="E50" s="148">
        <f>L111</f>
        <v>10678.256804171124</v>
      </c>
      <c r="F50" s="148">
        <f>O111</f>
        <v>13226.070488192614</v>
      </c>
      <c r="G50" s="148">
        <f>SUMPRODUCT(B$3:F$3,B50:F50)</f>
        <v>7634.288023867931</v>
      </c>
      <c r="H50" s="148">
        <f>SUMPRODUCT(B$5:F$5,B50:F50)</f>
        <v>6727.10005710372</v>
      </c>
      <c r="I50" s="148">
        <f>SUMPRODUCT(B$6:F$6,B50:F50)</f>
        <v>10441.197987180829</v>
      </c>
      <c r="J50" s="148">
        <f>SUMPRODUCT(B$7:F$7,B50:F50)</f>
        <v>13226.070488192614</v>
      </c>
    </row>
    <row r="51" spans="1:10" ht="13.5" thickBot="1">
      <c r="A51" s="339" t="s">
        <v>385</v>
      </c>
      <c r="B51" s="131">
        <f>D111</f>
        <v>3672.035367442658</v>
      </c>
      <c r="C51" s="131">
        <f>G111</f>
        <v>4028.597062969367</v>
      </c>
      <c r="D51" s="131">
        <f>J111</f>
        <v>5949.853631494126</v>
      </c>
      <c r="E51" s="131">
        <f>M111</f>
        <v>7113.273661756993</v>
      </c>
      <c r="F51" s="131">
        <f>P111</f>
        <v>8825.941753369942</v>
      </c>
      <c r="G51" s="148">
        <f>SUMPRODUCT(B$3:F$3,B51:F51)</f>
        <v>4985.933760394006</v>
      </c>
      <c r="H51" s="148">
        <f>SUMPRODUCT(B$5:F$5,B51:F51)</f>
        <v>4384.1146116662085</v>
      </c>
      <c r="I51" s="148">
        <f>SUMPRODUCT(B$6:F$6,B51:F51)</f>
        <v>6938.760657217563</v>
      </c>
      <c r="J51" s="148">
        <f>SUMPRODUCT(B$7:F$7,B51:F51)</f>
        <v>8825.941753369942</v>
      </c>
    </row>
    <row r="52" spans="1:8" ht="12.75">
      <c r="A52" s="16" t="s">
        <v>216</v>
      </c>
      <c r="B52" s="150"/>
      <c r="C52" s="150"/>
      <c r="D52" s="150"/>
      <c r="E52" s="150"/>
      <c r="F52" s="150"/>
      <c r="G52" s="150"/>
      <c r="H52" s="103"/>
    </row>
    <row r="53" spans="1:8" ht="13.5" thickBot="1">
      <c r="A53" s="105" t="s">
        <v>217</v>
      </c>
      <c r="H53" s="103"/>
    </row>
    <row r="54" spans="1:8" ht="13.5" thickBot="1">
      <c r="A54" s="468" t="s">
        <v>215</v>
      </c>
      <c r="B54" s="469"/>
      <c r="C54" s="161">
        <f>B104</f>
        <v>8.4</v>
      </c>
      <c r="D54" s="150"/>
      <c r="E54" s="150"/>
      <c r="F54" s="150"/>
      <c r="G54" s="150"/>
      <c r="H54" s="103"/>
    </row>
    <row r="55" spans="1:10" ht="13.5" thickBot="1">
      <c r="A55" s="114" t="s">
        <v>202</v>
      </c>
      <c r="B55" s="115" t="s">
        <v>181</v>
      </c>
      <c r="C55" s="115" t="s">
        <v>182</v>
      </c>
      <c r="D55" s="115" t="s">
        <v>183</v>
      </c>
      <c r="E55" s="115" t="s">
        <v>184</v>
      </c>
      <c r="F55" s="115" t="s">
        <v>185</v>
      </c>
      <c r="G55" s="116" t="s">
        <v>186</v>
      </c>
      <c r="H55" s="158" t="s">
        <v>189</v>
      </c>
      <c r="I55" s="158" t="s">
        <v>190</v>
      </c>
      <c r="J55" s="158" t="s">
        <v>191</v>
      </c>
    </row>
    <row r="56" spans="1:10" ht="12.75">
      <c r="A56" s="339" t="s">
        <v>386</v>
      </c>
      <c r="B56" s="144">
        <f>B119</f>
        <v>2502.716337675267</v>
      </c>
      <c r="C56" s="144">
        <f>E119</f>
        <v>2894.1201676245328</v>
      </c>
      <c r="D56" s="144">
        <f>H119</f>
        <v>4145.046153593253</v>
      </c>
      <c r="E56" s="144">
        <f>K119</f>
        <v>4858.954558634312</v>
      </c>
      <c r="F56" s="144">
        <f>N119</f>
        <v>5983.627683442131</v>
      </c>
      <c r="G56" s="145">
        <f>SUMPRODUCT(B$3:F$3,B56:F56)</f>
        <v>3479.5297130187178</v>
      </c>
      <c r="H56" s="145">
        <f>SUMPRODUCT(B$5:F$5,B56:F56)</f>
        <v>3069.8603236344698</v>
      </c>
      <c r="I56" s="145">
        <f>SUMPRODUCT(B$6:F$6,B56:F56)</f>
        <v>4751.8682978781535</v>
      </c>
      <c r="J56" s="145">
        <f>SUMPRODUCT(B$7:F$7,B56:F56)</f>
        <v>5983.627683442131</v>
      </c>
    </row>
    <row r="57" spans="1:10" ht="12.75">
      <c r="A57" s="339" t="s">
        <v>384</v>
      </c>
      <c r="B57" s="148">
        <f>C119</f>
        <v>3242.101550135546</v>
      </c>
      <c r="C57" s="148">
        <f>F119</f>
        <v>3749.348764273996</v>
      </c>
      <c r="D57" s="148">
        <f>I119</f>
        <v>5382.903275450645</v>
      </c>
      <c r="E57" s="148">
        <f>L119</f>
        <v>6317.96860913458</v>
      </c>
      <c r="F57" s="148">
        <f>O119</f>
        <v>7825.4250388472965</v>
      </c>
      <c r="G57" s="148">
        <f>SUMPRODUCT(B$3:F$3,B57:F57)</f>
        <v>4516.953747455192</v>
      </c>
      <c r="H57" s="148">
        <f>SUMPRODUCT(B$5:F$5,B57:F57)</f>
        <v>3980.200867119701</v>
      </c>
      <c r="I57" s="148">
        <f>SUMPRODUCT(B$6:F$6,B57:F57)</f>
        <v>6177.70880908199</v>
      </c>
      <c r="J57" s="148">
        <f>SUMPRODUCT(B$7:F$7,B57:F57)</f>
        <v>7825.4250388472965</v>
      </c>
    </row>
    <row r="58" spans="1:10" ht="13.5" thickBot="1">
      <c r="A58" s="339" t="s">
        <v>385</v>
      </c>
      <c r="B58" s="131">
        <f>D119</f>
        <v>2181.381493985845</v>
      </c>
      <c r="C58" s="131">
        <f>G119</f>
        <v>2393.19783186275</v>
      </c>
      <c r="D58" s="131">
        <f>J119</f>
        <v>3534.524944596258</v>
      </c>
      <c r="E58" s="131">
        <f>M119</f>
        <v>4225.6574282997935</v>
      </c>
      <c r="F58" s="131">
        <f>P119</f>
        <v>5243.0720516743</v>
      </c>
      <c r="G58" s="148">
        <f>SUMPRODUCT(B$3:F$3,B58:F58)</f>
        <v>2961.9060131050273</v>
      </c>
      <c r="H58" s="148">
        <f>SUMPRODUCT(B$5:F$5,B58:F58)</f>
        <v>2604.39389178921</v>
      </c>
      <c r="I58" s="148">
        <f>SUMPRODUCT(B$6:F$6,B58:F58)</f>
        <v>4121.987555744263</v>
      </c>
      <c r="J58" s="148">
        <f>SUMPRODUCT(B$7:F$7,B58:F58)</f>
        <v>5243.0720516743</v>
      </c>
    </row>
    <row r="59" spans="1:8" ht="12.75">
      <c r="A59" s="16"/>
      <c r="B59" s="150"/>
      <c r="C59" s="150"/>
      <c r="D59" s="150"/>
      <c r="E59" s="150"/>
      <c r="F59" s="150"/>
      <c r="G59" s="150"/>
      <c r="H59" s="103"/>
    </row>
    <row r="60" spans="1:8" ht="13.5" thickBot="1">
      <c r="A60" s="105" t="s">
        <v>218</v>
      </c>
      <c r="B60" s="150"/>
      <c r="C60" s="150"/>
      <c r="D60" s="150"/>
      <c r="E60" s="150"/>
      <c r="F60" s="150"/>
      <c r="G60" s="150"/>
      <c r="H60" s="103"/>
    </row>
    <row r="61" spans="1:8" ht="13.5" thickBot="1">
      <c r="A61" s="468" t="s">
        <v>219</v>
      </c>
      <c r="B61" s="470"/>
      <c r="C61" s="161">
        <f>B104</f>
        <v>8.4</v>
      </c>
      <c r="G61" s="150"/>
      <c r="H61" s="103"/>
    </row>
    <row r="62" spans="1:10" ht="13.5" thickBot="1">
      <c r="A62" s="114" t="s">
        <v>202</v>
      </c>
      <c r="B62" s="115" t="s">
        <v>181</v>
      </c>
      <c r="C62" s="115" t="s">
        <v>182</v>
      </c>
      <c r="D62" s="115" t="s">
        <v>183</v>
      </c>
      <c r="E62" s="115" t="s">
        <v>184</v>
      </c>
      <c r="F62" s="115" t="s">
        <v>185</v>
      </c>
      <c r="G62" s="152" t="s">
        <v>186</v>
      </c>
      <c r="H62" s="158" t="s">
        <v>189</v>
      </c>
      <c r="I62" s="158" t="s">
        <v>190</v>
      </c>
      <c r="J62" s="158" t="s">
        <v>191</v>
      </c>
    </row>
    <row r="63" spans="1:10" ht="12.75">
      <c r="A63" s="339" t="s">
        <v>386</v>
      </c>
      <c r="B63" s="144">
        <f aca="true" t="shared" si="2" ref="B63:F65">B49-B56</f>
        <v>1758.559680150539</v>
      </c>
      <c r="C63" s="144">
        <f t="shared" si="2"/>
        <v>2033.5836545593356</v>
      </c>
      <c r="D63" s="144">
        <f t="shared" si="2"/>
        <v>2912.5598168440865</v>
      </c>
      <c r="E63" s="144">
        <f t="shared" si="2"/>
        <v>3414.194987209401</v>
      </c>
      <c r="F63" s="144">
        <f t="shared" si="2"/>
        <v>4204.458262700341</v>
      </c>
      <c r="G63" s="153">
        <f>SUMPRODUCT($B$3:$F$3,B63:F63)</f>
        <v>2444.9277639208212</v>
      </c>
      <c r="H63" s="144">
        <f aca="true" t="shared" si="3" ref="H63:J65">H49-H56</f>
        <v>2157.069304087445</v>
      </c>
      <c r="I63" s="144">
        <f t="shared" si="3"/>
        <v>3338.9497116546027</v>
      </c>
      <c r="J63" s="154">
        <f t="shared" si="3"/>
        <v>4204.458262700341</v>
      </c>
    </row>
    <row r="64" spans="1:10" ht="12.75">
      <c r="A64" s="339" t="s">
        <v>384</v>
      </c>
      <c r="B64" s="148">
        <f t="shared" si="2"/>
        <v>2237.506703614672</v>
      </c>
      <c r="C64" s="148">
        <f t="shared" si="2"/>
        <v>2587.5787246398</v>
      </c>
      <c r="D64" s="148">
        <f t="shared" si="2"/>
        <v>3714.961415451854</v>
      </c>
      <c r="E64" s="148">
        <f t="shared" si="2"/>
        <v>4360.288195036544</v>
      </c>
      <c r="F64" s="148">
        <f t="shared" si="2"/>
        <v>5400.6454493453175</v>
      </c>
      <c r="G64" s="155">
        <f>SUMPRODUCT($B$3:$F$3,B64:F64)</f>
        <v>3117.3342764127383</v>
      </c>
      <c r="H64" s="148">
        <f t="shared" si="3"/>
        <v>2746.8991899840194</v>
      </c>
      <c r="I64" s="148">
        <f t="shared" si="3"/>
        <v>4263.489178098839</v>
      </c>
      <c r="J64" s="149">
        <f t="shared" si="3"/>
        <v>5400.6454493453175</v>
      </c>
    </row>
    <row r="65" spans="1:10" ht="13.5" thickBot="1">
      <c r="A65" s="339" t="s">
        <v>385</v>
      </c>
      <c r="B65" s="131">
        <f t="shared" si="2"/>
        <v>1490.653873456813</v>
      </c>
      <c r="C65" s="131">
        <f t="shared" si="2"/>
        <v>1635.3992311066172</v>
      </c>
      <c r="D65" s="131">
        <f t="shared" si="2"/>
        <v>2415.3286868978676</v>
      </c>
      <c r="E65" s="131">
        <f t="shared" si="2"/>
        <v>2887.616233457199</v>
      </c>
      <c r="F65" s="131">
        <f t="shared" si="2"/>
        <v>3582.869701695641</v>
      </c>
      <c r="G65" s="156">
        <f>SUMPRODUCT($B$3:$F$3,B65:F65)</f>
        <v>2024.0277472889784</v>
      </c>
      <c r="H65" s="131">
        <f t="shared" si="3"/>
        <v>1779.7207198769984</v>
      </c>
      <c r="I65" s="131">
        <f t="shared" si="3"/>
        <v>2816.7731014733</v>
      </c>
      <c r="J65" s="132">
        <f t="shared" si="3"/>
        <v>3582.869701695641</v>
      </c>
    </row>
    <row r="66" spans="1:8" ht="12.75">
      <c r="A66" s="16"/>
      <c r="B66" s="150"/>
      <c r="C66" s="150"/>
      <c r="D66" s="150"/>
      <c r="E66" s="150"/>
      <c r="F66" s="150"/>
      <c r="G66" s="150"/>
      <c r="H66" s="103"/>
    </row>
    <row r="67" spans="1:8" ht="13.5" thickBot="1">
      <c r="A67" s="105" t="s">
        <v>220</v>
      </c>
      <c r="B67" s="150"/>
      <c r="C67" s="150"/>
      <c r="D67" s="150"/>
      <c r="E67" s="150"/>
      <c r="F67" s="150"/>
      <c r="G67" s="150"/>
      <c r="H67" s="103"/>
    </row>
    <row r="68" spans="1:14" ht="13.5" thickBot="1">
      <c r="A68" s="468" t="s">
        <v>221</v>
      </c>
      <c r="B68" s="469"/>
      <c r="C68" s="161">
        <f>B97</f>
        <v>5.59125</v>
      </c>
      <c r="D68" s="468" t="s">
        <v>222</v>
      </c>
      <c r="E68" s="469"/>
      <c r="F68" s="143">
        <f>B99</f>
        <v>6.4350000000000005</v>
      </c>
      <c r="G68" s="150"/>
      <c r="H68" s="103"/>
      <c r="K68" s="103"/>
      <c r="L68" s="103"/>
      <c r="M68" s="103"/>
      <c r="N68" s="103"/>
    </row>
    <row r="69" spans="1:14" ht="13.5" thickBot="1">
      <c r="A69" s="114" t="s">
        <v>202</v>
      </c>
      <c r="B69" s="115" t="s">
        <v>181</v>
      </c>
      <c r="C69" s="115" t="s">
        <v>182</v>
      </c>
      <c r="D69" s="115" t="s">
        <v>183</v>
      </c>
      <c r="E69" s="115" t="s">
        <v>184</v>
      </c>
      <c r="F69" s="115" t="s">
        <v>185</v>
      </c>
      <c r="G69" s="152" t="s">
        <v>186</v>
      </c>
      <c r="H69" s="158" t="s">
        <v>189</v>
      </c>
      <c r="I69" s="158" t="s">
        <v>190</v>
      </c>
      <c r="J69" s="158" t="s">
        <v>191</v>
      </c>
      <c r="L69" s="147"/>
      <c r="M69" s="147"/>
      <c r="N69" s="147"/>
    </row>
    <row r="70" spans="1:14" ht="12.75">
      <c r="A70" s="339" t="s">
        <v>386</v>
      </c>
      <c r="B70" s="144">
        <f aca="true" t="shared" si="4" ref="B70:H72">B21+B49</f>
        <v>5410.461431299343</v>
      </c>
      <c r="C70" s="144">
        <f t="shared" si="4"/>
        <v>5566.710125345011</v>
      </c>
      <c r="D70" s="144">
        <f t="shared" si="4"/>
        <v>9277.108922787185</v>
      </c>
      <c r="E70" s="144">
        <f t="shared" si="4"/>
        <v>9817.409271336404</v>
      </c>
      <c r="F70" s="144">
        <f t="shared" si="4"/>
        <v>11653.371497854074</v>
      </c>
      <c r="G70" s="144">
        <f t="shared" si="4"/>
        <v>7086.882260109943</v>
      </c>
      <c r="H70" s="144">
        <f t="shared" si="4"/>
        <v>5989.877818165626</v>
      </c>
      <c r="I70" s="144">
        <f>J21+I49</f>
        <v>10310.320961882602</v>
      </c>
      <c r="J70" s="154">
        <f>I21+J49</f>
        <v>11574.3159468275</v>
      </c>
      <c r="L70" s="147"/>
      <c r="M70" s="147"/>
      <c r="N70" s="147"/>
    </row>
    <row r="71" spans="1:10" ht="12.75">
      <c r="A71" s="339" t="s">
        <v>384</v>
      </c>
      <c r="B71" s="148">
        <f t="shared" si="4"/>
        <v>6384.701691640968</v>
      </c>
      <c r="C71" s="148">
        <f t="shared" si="4"/>
        <v>6799.562579255461</v>
      </c>
      <c r="D71" s="148">
        <f t="shared" si="4"/>
        <v>11516.154713713444</v>
      </c>
      <c r="E71" s="148">
        <f t="shared" si="4"/>
        <v>12015.52096203854</v>
      </c>
      <c r="F71" s="148">
        <f t="shared" si="4"/>
        <v>14476.584177961195</v>
      </c>
      <c r="G71" s="148">
        <f t="shared" si="4"/>
        <v>8611.361540328468</v>
      </c>
      <c r="H71" s="148">
        <f t="shared" si="4"/>
        <v>7307.916937359423</v>
      </c>
      <c r="I71" s="148">
        <f>J22+I50</f>
        <v>12859.488009991774</v>
      </c>
      <c r="J71" s="149">
        <f>I22+J50</f>
        <v>14390.466358069363</v>
      </c>
    </row>
    <row r="72" spans="1:10" ht="12.75">
      <c r="A72" s="339" t="s">
        <v>385</v>
      </c>
      <c r="B72" s="148">
        <f t="shared" si="4"/>
        <v>4287.756820618907</v>
      </c>
      <c r="C72" s="148">
        <f t="shared" si="4"/>
        <v>4325.657137411571</v>
      </c>
      <c r="D72" s="148">
        <f t="shared" si="4"/>
        <v>7685.711758823874</v>
      </c>
      <c r="E72" s="148">
        <f t="shared" si="4"/>
        <v>8059.521569726776</v>
      </c>
      <c r="F72" s="148">
        <f t="shared" si="4"/>
        <v>9698.156905735814</v>
      </c>
      <c r="G72" s="148">
        <f t="shared" si="4"/>
        <v>5659.83295773745</v>
      </c>
      <c r="H72" s="148">
        <f t="shared" si="4"/>
        <v>4767.447947796963</v>
      </c>
      <c r="I72" s="148">
        <f>J23+I51</f>
        <v>8674.61878454731</v>
      </c>
      <c r="J72" s="149">
        <f>I23+J51</f>
        <v>9639.979079422312</v>
      </c>
    </row>
    <row r="73" spans="1:10" ht="13.5" thickBot="1">
      <c r="A73" s="129" t="s">
        <v>223</v>
      </c>
      <c r="B73" s="162">
        <f aca="true" t="shared" si="5" ref="B73:J73">B72/2300</f>
        <v>1.864242095921264</v>
      </c>
      <c r="C73" s="162">
        <f t="shared" si="5"/>
        <v>1.88072049452677</v>
      </c>
      <c r="D73" s="162">
        <f t="shared" si="5"/>
        <v>3.341613808184293</v>
      </c>
      <c r="E73" s="162">
        <f t="shared" si="5"/>
        <v>3.5041398129246852</v>
      </c>
      <c r="F73" s="162">
        <f t="shared" si="5"/>
        <v>4.216589959015571</v>
      </c>
      <c r="G73" s="162">
        <f t="shared" si="5"/>
        <v>2.4607969381467174</v>
      </c>
      <c r="H73" s="162">
        <f t="shared" si="5"/>
        <v>2.072803455563897</v>
      </c>
      <c r="I73" s="162">
        <f t="shared" si="5"/>
        <v>3.7715733845857873</v>
      </c>
      <c r="J73" s="163">
        <f t="shared" si="5"/>
        <v>4.191295251922744</v>
      </c>
    </row>
    <row r="74" spans="1:8" ht="13.5" thickBot="1">
      <c r="A74" s="105" t="s">
        <v>224</v>
      </c>
      <c r="B74" s="150"/>
      <c r="C74" s="150"/>
      <c r="D74" s="150"/>
      <c r="E74" s="150"/>
      <c r="F74" s="150"/>
      <c r="G74" s="150"/>
      <c r="H74" s="103"/>
    </row>
    <row r="75" spans="1:14" ht="13.5" thickBot="1">
      <c r="A75" s="468" t="s">
        <v>221</v>
      </c>
      <c r="B75" s="469"/>
      <c r="C75" s="161">
        <f>B104</f>
        <v>8.4</v>
      </c>
      <c r="D75" s="468" t="s">
        <v>222</v>
      </c>
      <c r="E75" s="469"/>
      <c r="F75" s="143">
        <f>B106</f>
        <v>7.800000000000001</v>
      </c>
      <c r="G75" s="150"/>
      <c r="H75" s="103"/>
      <c r="K75" s="103"/>
      <c r="L75" s="103"/>
      <c r="M75" s="103"/>
      <c r="N75" s="103"/>
    </row>
    <row r="76" spans="1:14" ht="13.5" thickBot="1">
      <c r="A76" s="114" t="s">
        <v>202</v>
      </c>
      <c r="B76" s="115" t="s">
        <v>181</v>
      </c>
      <c r="C76" s="115" t="s">
        <v>182</v>
      </c>
      <c r="D76" s="115" t="s">
        <v>183</v>
      </c>
      <c r="E76" s="115" t="s">
        <v>184</v>
      </c>
      <c r="F76" s="115" t="s">
        <v>185</v>
      </c>
      <c r="G76" s="152" t="s">
        <v>186</v>
      </c>
      <c r="H76" s="158" t="s">
        <v>189</v>
      </c>
      <c r="I76" s="158" t="s">
        <v>190</v>
      </c>
      <c r="J76" s="158" t="s">
        <v>191</v>
      </c>
      <c r="L76" s="147"/>
      <c r="M76" s="147"/>
      <c r="N76" s="147"/>
    </row>
    <row r="77" spans="1:14" ht="12.75">
      <c r="A77" s="339" t="s">
        <v>386</v>
      </c>
      <c r="B77" s="144">
        <f aca="true" t="shared" si="6" ref="B77:H79">B28+B56</f>
        <v>3339.2557195420327</v>
      </c>
      <c r="C77" s="144">
        <f t="shared" si="6"/>
        <v>3359.2791677197765</v>
      </c>
      <c r="D77" s="144">
        <f t="shared" si="6"/>
        <v>5760.713743906744</v>
      </c>
      <c r="E77" s="144">
        <f t="shared" si="6"/>
        <v>5983.08479998561</v>
      </c>
      <c r="F77" s="144">
        <f t="shared" si="6"/>
        <v>7050.26937182043</v>
      </c>
      <c r="G77" s="144">
        <f t="shared" si="6"/>
        <v>4325.70657723835</v>
      </c>
      <c r="H77" s="144">
        <f t="shared" si="6"/>
        <v>3625.241726972172</v>
      </c>
      <c r="I77" s="144">
        <f>J28+I56</f>
        <v>6367.5358881916445</v>
      </c>
      <c r="J77" s="154">
        <f>I28+J56</f>
        <v>6992.721580999615</v>
      </c>
      <c r="L77" s="147"/>
      <c r="M77" s="147"/>
      <c r="N77" s="147"/>
    </row>
    <row r="78" spans="1:10" ht="12.75">
      <c r="A78" s="339" t="s">
        <v>384</v>
      </c>
      <c r="B78" s="148">
        <f t="shared" si="6"/>
        <v>3905.8367379220963</v>
      </c>
      <c r="C78" s="148">
        <f t="shared" si="6"/>
        <v>4088.614497191217</v>
      </c>
      <c r="D78" s="148">
        <f t="shared" si="6"/>
        <v>7156.315958845338</v>
      </c>
      <c r="E78" s="148">
        <f t="shared" si="6"/>
        <v>7298.628991570685</v>
      </c>
      <c r="F78" s="148">
        <f t="shared" si="6"/>
        <v>8742.468411344256</v>
      </c>
      <c r="G78" s="148">
        <f t="shared" si="6"/>
        <v>5233.47432619292</v>
      </c>
      <c r="H78" s="148">
        <f t="shared" si="6"/>
        <v>4406.133245973882</v>
      </c>
      <c r="I78" s="148">
        <f>J29+I57</f>
        <v>7951.121492476683</v>
      </c>
      <c r="J78" s="149">
        <f>I29+J57</f>
        <v>8679.31534342358</v>
      </c>
    </row>
    <row r="79" spans="1:10" ht="12.75">
      <c r="A79" s="339" t="s">
        <v>385</v>
      </c>
      <c r="B79" s="148">
        <f t="shared" si="6"/>
        <v>2634.731241364809</v>
      </c>
      <c r="C79" s="148">
        <f t="shared" si="6"/>
        <v>2611.9202898996305</v>
      </c>
      <c r="D79" s="148">
        <f t="shared" si="6"/>
        <v>4812.620485122114</v>
      </c>
      <c r="E79" s="148">
        <f t="shared" si="6"/>
        <v>4922.370605700126</v>
      </c>
      <c r="F79" s="148">
        <f t="shared" si="6"/>
        <v>5885.275627569496</v>
      </c>
      <c r="G79" s="148">
        <f t="shared" si="6"/>
        <v>3458.09147050387</v>
      </c>
      <c r="H79" s="148">
        <f t="shared" si="6"/>
        <v>2886.638517504838</v>
      </c>
      <c r="I79" s="148">
        <f>J30+I58</f>
        <v>5400.083096270118</v>
      </c>
      <c r="J79" s="149">
        <f>I30+J58</f>
        <v>5842.439857066086</v>
      </c>
    </row>
    <row r="80" spans="1:10" ht="13.5" thickBot="1">
      <c r="A80" s="129" t="s">
        <v>223</v>
      </c>
      <c r="B80" s="162">
        <f aca="true" t="shared" si="7" ref="B80:J80">B79/2300</f>
        <v>1.1455353223325258</v>
      </c>
      <c r="C80" s="162">
        <f t="shared" si="7"/>
        <v>1.1356175173476655</v>
      </c>
      <c r="D80" s="162">
        <f t="shared" si="7"/>
        <v>2.092443689183528</v>
      </c>
      <c r="E80" s="162">
        <f t="shared" si="7"/>
        <v>2.1401611329130983</v>
      </c>
      <c r="F80" s="162">
        <f t="shared" si="7"/>
        <v>2.5588154902476066</v>
      </c>
      <c r="G80" s="162">
        <f t="shared" si="7"/>
        <v>1.5035180306538565</v>
      </c>
      <c r="H80" s="162">
        <f t="shared" si="7"/>
        <v>1.2550602250021035</v>
      </c>
      <c r="I80" s="162">
        <f t="shared" si="7"/>
        <v>2.3478622157696165</v>
      </c>
      <c r="J80" s="163">
        <f t="shared" si="7"/>
        <v>2.540191242202646</v>
      </c>
    </row>
    <row r="81" spans="1:8" ht="13.5" thickBot="1">
      <c r="A81" s="105" t="s">
        <v>225</v>
      </c>
      <c r="B81" s="150"/>
      <c r="C81" s="150"/>
      <c r="D81" s="150"/>
      <c r="E81" s="150"/>
      <c r="F81" s="150"/>
      <c r="G81" s="150"/>
      <c r="H81" s="103"/>
    </row>
    <row r="82" spans="1:14" ht="13.5" thickBot="1">
      <c r="A82" s="468" t="s">
        <v>221</v>
      </c>
      <c r="B82" s="469"/>
      <c r="C82" s="161">
        <f>B104</f>
        <v>8.4</v>
      </c>
      <c r="D82" s="468" t="s">
        <v>222</v>
      </c>
      <c r="E82" s="469"/>
      <c r="F82" s="143">
        <f>B106</f>
        <v>7.800000000000001</v>
      </c>
      <c r="G82" s="150"/>
      <c r="H82" s="103"/>
      <c r="K82" s="103"/>
      <c r="L82" s="103"/>
      <c r="M82" s="103"/>
      <c r="N82" s="103"/>
    </row>
    <row r="83" spans="1:14" ht="13.5" thickBot="1">
      <c r="A83" s="164" t="s">
        <v>202</v>
      </c>
      <c r="B83" s="165" t="s">
        <v>181</v>
      </c>
      <c r="C83" s="165" t="s">
        <v>182</v>
      </c>
      <c r="D83" s="165" t="s">
        <v>183</v>
      </c>
      <c r="E83" s="165" t="s">
        <v>184</v>
      </c>
      <c r="F83" s="165" t="s">
        <v>185</v>
      </c>
      <c r="G83" s="166" t="s">
        <v>186</v>
      </c>
      <c r="H83" s="158" t="s">
        <v>189</v>
      </c>
      <c r="I83" s="158" t="s">
        <v>190</v>
      </c>
      <c r="J83" s="158" t="s">
        <v>191</v>
      </c>
      <c r="L83" s="147"/>
      <c r="M83" s="147"/>
      <c r="N83" s="147"/>
    </row>
    <row r="84" spans="1:14" ht="12.75">
      <c r="A84" s="339" t="s">
        <v>386</v>
      </c>
      <c r="B84" s="144">
        <f aca="true" t="shared" si="8" ref="B84:J84">B70-B77</f>
        <v>2071.20571175731</v>
      </c>
      <c r="C84" s="144">
        <f t="shared" si="8"/>
        <v>2207.4309576252344</v>
      </c>
      <c r="D84" s="144">
        <f t="shared" si="8"/>
        <v>3516.3951788804416</v>
      </c>
      <c r="E84" s="144">
        <f t="shared" si="8"/>
        <v>3834.3244713507947</v>
      </c>
      <c r="F84" s="144">
        <f t="shared" si="8"/>
        <v>4603.102126033644</v>
      </c>
      <c r="G84" s="144">
        <f t="shared" si="8"/>
        <v>2761.1756828715925</v>
      </c>
      <c r="H84" s="144">
        <f t="shared" si="8"/>
        <v>2364.6360911934544</v>
      </c>
      <c r="I84" s="144">
        <f t="shared" si="8"/>
        <v>3942.7850736909577</v>
      </c>
      <c r="J84" s="154">
        <f t="shared" si="8"/>
        <v>4581.594365827886</v>
      </c>
      <c r="L84" s="147"/>
      <c r="M84" s="147"/>
      <c r="N84" s="147"/>
    </row>
    <row r="85" spans="1:10" ht="12.75">
      <c r="A85" s="339" t="s">
        <v>384</v>
      </c>
      <c r="B85" s="148">
        <f aca="true" t="shared" si="9" ref="B85:J85">B71-B78</f>
        <v>2478.864953718872</v>
      </c>
      <c r="C85" s="148">
        <f t="shared" si="9"/>
        <v>2710.948082064244</v>
      </c>
      <c r="D85" s="148">
        <f t="shared" si="9"/>
        <v>4359.838754868106</v>
      </c>
      <c r="E85" s="148">
        <f t="shared" si="9"/>
        <v>4716.891970467855</v>
      </c>
      <c r="F85" s="148">
        <f t="shared" si="9"/>
        <v>5734.115766616938</v>
      </c>
      <c r="G85" s="148">
        <f t="shared" si="9"/>
        <v>3377.8872141355478</v>
      </c>
      <c r="H85" s="148">
        <f t="shared" si="9"/>
        <v>2901.783691385541</v>
      </c>
      <c r="I85" s="148">
        <f t="shared" si="9"/>
        <v>4908.366517515091</v>
      </c>
      <c r="J85" s="149">
        <f t="shared" si="9"/>
        <v>5711.151014645784</v>
      </c>
    </row>
    <row r="86" spans="1:10" ht="12.75">
      <c r="A86" s="339" t="s">
        <v>385</v>
      </c>
      <c r="B86" s="148">
        <f aca="true" t="shared" si="10" ref="B86:J86">B72-B79</f>
        <v>1653.025579254098</v>
      </c>
      <c r="C86" s="148">
        <f t="shared" si="10"/>
        <v>1713.7368475119406</v>
      </c>
      <c r="D86" s="148">
        <f t="shared" si="10"/>
        <v>2873.0912737017607</v>
      </c>
      <c r="E86" s="148">
        <f t="shared" si="10"/>
        <v>3137.1509640266495</v>
      </c>
      <c r="F86" s="148">
        <f t="shared" si="10"/>
        <v>3812.881278166318</v>
      </c>
      <c r="G86" s="148">
        <f t="shared" si="10"/>
        <v>2201.74148723358</v>
      </c>
      <c r="H86" s="148">
        <f t="shared" si="10"/>
        <v>1880.8094302921245</v>
      </c>
      <c r="I86" s="148">
        <f t="shared" si="10"/>
        <v>3274.535688277192</v>
      </c>
      <c r="J86" s="149">
        <f t="shared" si="10"/>
        <v>3797.5392223562258</v>
      </c>
    </row>
    <row r="87" spans="1:10" ht="13.5" thickBot="1">
      <c r="A87" s="129" t="s">
        <v>223</v>
      </c>
      <c r="B87" s="162">
        <f aca="true" t="shared" si="11" ref="B87:J87">B86/2300</f>
        <v>0.7187067735887382</v>
      </c>
      <c r="C87" s="162">
        <f t="shared" si="11"/>
        <v>0.7451029771791046</v>
      </c>
      <c r="D87" s="162">
        <f t="shared" si="11"/>
        <v>1.2491701190007656</v>
      </c>
      <c r="E87" s="162">
        <f t="shared" si="11"/>
        <v>1.3639786800115867</v>
      </c>
      <c r="F87" s="162">
        <f t="shared" si="11"/>
        <v>1.6577744687679645</v>
      </c>
      <c r="G87" s="162">
        <f t="shared" si="11"/>
        <v>0.9572789074928608</v>
      </c>
      <c r="H87" s="162">
        <f t="shared" si="11"/>
        <v>0.8177432305617932</v>
      </c>
      <c r="I87" s="162">
        <f t="shared" si="11"/>
        <v>1.4237111688161705</v>
      </c>
      <c r="J87" s="163">
        <f t="shared" si="11"/>
        <v>1.6511040097200982</v>
      </c>
    </row>
    <row r="88" ht="12.75">
      <c r="G88" s="103"/>
    </row>
    <row r="89" spans="1:16" s="168" customFormat="1" ht="12.75">
      <c r="A89" s="167" t="s">
        <v>118</v>
      </c>
      <c r="B89" s="462" t="s">
        <v>181</v>
      </c>
      <c r="C89" s="463"/>
      <c r="D89" s="464"/>
      <c r="E89" s="462" t="s">
        <v>182</v>
      </c>
      <c r="F89" s="463"/>
      <c r="G89" s="464"/>
      <c r="H89" s="462" t="s">
        <v>183</v>
      </c>
      <c r="I89" s="463"/>
      <c r="J89" s="464"/>
      <c r="K89" s="462" t="s">
        <v>184</v>
      </c>
      <c r="L89" s="463"/>
      <c r="M89" s="464"/>
      <c r="N89" s="462" t="s">
        <v>185</v>
      </c>
      <c r="O89" s="463"/>
      <c r="P89" s="464"/>
    </row>
    <row r="90" spans="1:16" s="168" customFormat="1" ht="51">
      <c r="A90" s="169" t="s">
        <v>202</v>
      </c>
      <c r="B90" s="338" t="s">
        <v>383</v>
      </c>
      <c r="C90" s="338" t="s">
        <v>384</v>
      </c>
      <c r="D90" s="338" t="s">
        <v>385</v>
      </c>
      <c r="E90" s="338" t="s">
        <v>383</v>
      </c>
      <c r="F90" s="338" t="s">
        <v>384</v>
      </c>
      <c r="G90" s="338" t="s">
        <v>385</v>
      </c>
      <c r="H90" s="338" t="s">
        <v>383</v>
      </c>
      <c r="I90" s="338" t="s">
        <v>384</v>
      </c>
      <c r="J90" s="338" t="s">
        <v>385</v>
      </c>
      <c r="K90" s="338" t="s">
        <v>383</v>
      </c>
      <c r="L90" s="338" t="s">
        <v>384</v>
      </c>
      <c r="M90" s="338" t="s">
        <v>385</v>
      </c>
      <c r="N90" s="338" t="s">
        <v>383</v>
      </c>
      <c r="O90" s="338" t="s">
        <v>384</v>
      </c>
      <c r="P90" s="338" t="s">
        <v>385</v>
      </c>
    </row>
    <row r="91" spans="1:16" ht="12.75">
      <c r="A91" s="170"/>
      <c r="B91" s="170"/>
      <c r="C91" s="170"/>
      <c r="D91" s="170"/>
      <c r="E91" s="170"/>
      <c r="F91" s="170"/>
      <c r="G91" s="170"/>
      <c r="H91" s="170"/>
      <c r="I91" s="170"/>
      <c r="J91" s="170"/>
      <c r="K91" s="170"/>
      <c r="L91" s="170"/>
      <c r="M91" s="170"/>
      <c r="N91" s="170"/>
      <c r="O91" s="170"/>
      <c r="P91" s="170"/>
    </row>
    <row r="92" spans="1:16" ht="12.75">
      <c r="A92" s="170" t="s">
        <v>226</v>
      </c>
      <c r="B92" s="170"/>
      <c r="C92" s="170"/>
      <c r="D92" s="170"/>
      <c r="E92" s="170"/>
      <c r="F92" s="170"/>
      <c r="G92" s="170"/>
      <c r="H92" s="170"/>
      <c r="I92" s="170"/>
      <c r="J92" s="170"/>
      <c r="K92" s="170"/>
      <c r="L92" s="171"/>
      <c r="M92" s="171"/>
      <c r="N92" s="171"/>
      <c r="O92" s="170"/>
      <c r="P92" s="170"/>
    </row>
    <row r="93" spans="1:16" ht="12.75">
      <c r="A93" s="172" t="s">
        <v>227</v>
      </c>
      <c r="B93" s="148">
        <f>'[1]Cost Effectiveness'!$P$24</f>
        <v>5235.685511573807</v>
      </c>
      <c r="C93" s="148">
        <f>'[2]Cost-Effectiveness'!$L$8</f>
        <v>7181.449668627228</v>
      </c>
      <c r="D93" s="148">
        <f>'[2]Cost-Effectiveness'!$M$8</f>
        <v>4992.9540671015</v>
      </c>
      <c r="E93" s="148">
        <f>'[1]Cost Effectiveness'!$P$25</f>
        <v>5996.8408512864635</v>
      </c>
      <c r="F93" s="148">
        <f>'[2]Cost-Effectiveness'!$L$9</f>
        <v>8225.937165802428</v>
      </c>
      <c r="G93" s="148">
        <f>'[2]Cost-Effectiveness'!$M$9</f>
        <v>5425.610179847998</v>
      </c>
      <c r="H93" s="148">
        <f>'[1]Cost Effectiveness'!$P$26</f>
        <v>7680.419535694032</v>
      </c>
      <c r="I93" s="148">
        <f>'[2]Cost-Effectiveness'!$L$10</f>
        <v>10560.77361043584</v>
      </c>
      <c r="J93" s="148">
        <f>'[2]Cost-Effectiveness'!$M$10</f>
        <v>7165.56841390285</v>
      </c>
      <c r="K93" s="148">
        <f>'[1]Cost Effectiveness'!$P$27</f>
        <v>9003.231359157162</v>
      </c>
      <c r="L93" s="148">
        <f>'[2]Cost-Effectiveness'!$L$11</f>
        <v>12395.287959790552</v>
      </c>
      <c r="M93" s="148">
        <f>'[2]Cost-Effectiveness'!$M$11</f>
        <v>8566.706380864907</v>
      </c>
      <c r="N93" s="148">
        <f>'[1]Cost Effectiveness'!$P$28</f>
        <v>10610.288526279455</v>
      </c>
      <c r="O93" s="148">
        <f>'[2]Cost-Effectiveness'!$L$12</f>
        <v>14692.447597109136</v>
      </c>
      <c r="P93" s="148">
        <f>'[2]Cost-Effectiveness'!$M$12</f>
        <v>10172.14353863655</v>
      </c>
    </row>
    <row r="94" spans="1:16" ht="12.75">
      <c r="A94" s="172" t="s">
        <v>228</v>
      </c>
      <c r="B94" s="148">
        <f>'[1]Cost Effectiveness'!$AW$15</f>
        <v>1625.038412474848</v>
      </c>
      <c r="C94" s="148">
        <f>'[2]Cost-Effectiveness'!$AC$84</f>
        <v>1365.1980715679997</v>
      </c>
      <c r="D94" s="148">
        <f>'[2]Cost-Effectiveness'!$AC$92</f>
        <v>963.5508548159999</v>
      </c>
      <c r="E94" s="148">
        <f>'[1]Cost Effectiveness'!$AX$15</f>
        <v>903.6050895492137</v>
      </c>
      <c r="F94" s="148">
        <f>'[2]Cost-Effectiveness'!$AD$84</f>
        <v>697.8158350655998</v>
      </c>
      <c r="G94" s="148">
        <f>'[2]Cost-Effectiveness'!$AD$92</f>
        <v>464.8733403455998</v>
      </c>
      <c r="H94" s="148">
        <f>'[1]Cost Effectiveness'!$AY$15</f>
        <v>3138.551457303969</v>
      </c>
      <c r="I94" s="148">
        <f>'[2]Cost-Effectiveness'!$AE$84</f>
        <v>3647.6287833081597</v>
      </c>
      <c r="J94" s="148">
        <f>'[2]Cost-Effectiveness'!$AE$92</f>
        <v>2716.4679317241594</v>
      </c>
      <c r="K94" s="148">
        <f>'[1]Cost Effectiveness'!$AZ$15</f>
        <v>2183.7045122060076</v>
      </c>
      <c r="L94" s="148">
        <f>'[2]Cost-Effectiveness'!$AF$84</f>
        <v>2017.0629606508796</v>
      </c>
      <c r="M94" s="148">
        <f>'[2]Cost-Effectiveness'!$AF$92</f>
        <v>1480.79618777088</v>
      </c>
      <c r="N94" s="148">
        <f>'[1]Cost Effectiveness'!$BA$15</f>
        <v>2072.0288291673382</v>
      </c>
      <c r="O94" s="148">
        <f>'[2]Cost-Effectiveness'!$AG$84</f>
        <v>1886.2128552383992</v>
      </c>
      <c r="P94" s="148">
        <f>'[2]Cost-Effectiveness'!$AG$92</f>
        <v>1364.9413242143996</v>
      </c>
    </row>
    <row r="95" spans="1:16" s="93" customFormat="1" ht="12.75">
      <c r="A95" s="173"/>
      <c r="B95" s="171"/>
      <c r="C95" s="171"/>
      <c r="D95" s="171"/>
      <c r="E95" s="171"/>
      <c r="F95" s="171"/>
      <c r="G95" s="171"/>
      <c r="H95" s="171"/>
      <c r="I95" s="171"/>
      <c r="J95" s="171"/>
      <c r="K95" s="171"/>
      <c r="L95" s="171"/>
      <c r="M95" s="171"/>
      <c r="N95" s="171"/>
      <c r="O95" s="171"/>
      <c r="P95" s="171"/>
    </row>
    <row r="96" spans="1:16" ht="12.75">
      <c r="A96" s="174" t="s">
        <v>229</v>
      </c>
      <c r="B96" s="170"/>
      <c r="C96" s="170"/>
      <c r="D96" s="170"/>
      <c r="E96" s="170"/>
      <c r="F96" s="170"/>
      <c r="G96" s="170"/>
      <c r="H96" s="170"/>
      <c r="I96" s="170"/>
      <c r="J96" s="170"/>
      <c r="K96" s="170"/>
      <c r="L96" s="170"/>
      <c r="M96" s="170"/>
      <c r="N96" s="170"/>
      <c r="O96" s="170"/>
      <c r="P96" s="170"/>
    </row>
    <row r="97" spans="1:16" ht="12.75">
      <c r="A97" s="172" t="s">
        <v>230</v>
      </c>
      <c r="B97" s="177">
        <f>B130</f>
        <v>5.59125</v>
      </c>
      <c r="C97" s="177">
        <f aca="true" t="shared" si="12" ref="C97:P97">C130</f>
        <v>5.59125</v>
      </c>
      <c r="D97" s="177">
        <f t="shared" si="12"/>
        <v>5.59125</v>
      </c>
      <c r="E97" s="177">
        <f t="shared" si="12"/>
        <v>5.538</v>
      </c>
      <c r="F97" s="177">
        <f t="shared" si="12"/>
        <v>5.538</v>
      </c>
      <c r="G97" s="177">
        <f t="shared" si="12"/>
        <v>5.538</v>
      </c>
      <c r="H97" s="177">
        <f t="shared" si="12"/>
        <v>4.952249999999999</v>
      </c>
      <c r="I97" s="177">
        <f t="shared" si="12"/>
        <v>4.952249999999999</v>
      </c>
      <c r="J97" s="177">
        <f t="shared" si="12"/>
        <v>4.952249999999999</v>
      </c>
      <c r="K97" s="177">
        <f t="shared" si="12"/>
        <v>4.952249999999999</v>
      </c>
      <c r="L97" s="177">
        <f t="shared" si="12"/>
        <v>4.952249999999999</v>
      </c>
      <c r="M97" s="177">
        <f t="shared" si="12"/>
        <v>4.952249999999999</v>
      </c>
      <c r="N97" s="177">
        <f t="shared" si="12"/>
        <v>4.739249999999999</v>
      </c>
      <c r="O97" s="177">
        <f t="shared" si="12"/>
        <v>4.739249999999999</v>
      </c>
      <c r="P97" s="177">
        <f t="shared" si="12"/>
        <v>4.739249999999999</v>
      </c>
    </row>
    <row r="98" spans="1:16" ht="12.75">
      <c r="A98" s="172" t="s">
        <v>231</v>
      </c>
      <c r="B98" s="175">
        <f aca="true" t="shared" si="13" ref="B98:P98">B97/3.413</f>
        <v>1.638221506006446</v>
      </c>
      <c r="C98" s="175">
        <f t="shared" si="13"/>
        <v>1.638221506006446</v>
      </c>
      <c r="D98" s="175">
        <f t="shared" si="13"/>
        <v>1.638221506006446</v>
      </c>
      <c r="E98" s="175">
        <f t="shared" si="13"/>
        <v>1.6226193964254323</v>
      </c>
      <c r="F98" s="175">
        <f t="shared" si="13"/>
        <v>1.6226193964254323</v>
      </c>
      <c r="G98" s="175">
        <f t="shared" si="13"/>
        <v>1.6226193964254323</v>
      </c>
      <c r="H98" s="175">
        <f t="shared" si="13"/>
        <v>1.4509961910342806</v>
      </c>
      <c r="I98" s="175">
        <f t="shared" si="13"/>
        <v>1.4509961910342806</v>
      </c>
      <c r="J98" s="175">
        <f t="shared" si="13"/>
        <v>1.4509961910342806</v>
      </c>
      <c r="K98" s="175">
        <f t="shared" si="13"/>
        <v>1.4509961910342806</v>
      </c>
      <c r="L98" s="175">
        <f t="shared" si="13"/>
        <v>1.4509961910342806</v>
      </c>
      <c r="M98" s="175">
        <f t="shared" si="13"/>
        <v>1.4509961910342806</v>
      </c>
      <c r="N98" s="175">
        <f t="shared" si="13"/>
        <v>1.3885877527102255</v>
      </c>
      <c r="O98" s="175">
        <f t="shared" si="13"/>
        <v>1.3885877527102255</v>
      </c>
      <c r="P98" s="175">
        <f t="shared" si="13"/>
        <v>1.3885877527102255</v>
      </c>
    </row>
    <row r="99" spans="1:16" ht="12.75">
      <c r="A99" s="172" t="s">
        <v>232</v>
      </c>
      <c r="B99" s="177">
        <f>B131</f>
        <v>6.4350000000000005</v>
      </c>
      <c r="C99" s="177">
        <f aca="true" t="shared" si="14" ref="C99:P99">C131</f>
        <v>6.4350000000000005</v>
      </c>
      <c r="D99" s="177">
        <f t="shared" si="14"/>
        <v>6.4350000000000005</v>
      </c>
      <c r="E99" s="177">
        <f t="shared" si="14"/>
        <v>6.4350000000000005</v>
      </c>
      <c r="F99" s="177">
        <f t="shared" si="14"/>
        <v>6.4350000000000005</v>
      </c>
      <c r="G99" s="177">
        <f t="shared" si="14"/>
        <v>6.4350000000000005</v>
      </c>
      <c r="H99" s="177">
        <f t="shared" si="14"/>
        <v>6.4350000000000005</v>
      </c>
      <c r="I99" s="177">
        <f t="shared" si="14"/>
        <v>6.4350000000000005</v>
      </c>
      <c r="J99" s="177">
        <f t="shared" si="14"/>
        <v>6.4350000000000005</v>
      </c>
      <c r="K99" s="177">
        <f t="shared" si="14"/>
        <v>6.4350000000000005</v>
      </c>
      <c r="L99" s="177">
        <f t="shared" si="14"/>
        <v>6.4350000000000005</v>
      </c>
      <c r="M99" s="177">
        <f t="shared" si="14"/>
        <v>6.4350000000000005</v>
      </c>
      <c r="N99" s="177">
        <f t="shared" si="14"/>
        <v>6.4350000000000005</v>
      </c>
      <c r="O99" s="177">
        <f t="shared" si="14"/>
        <v>6.4350000000000005</v>
      </c>
      <c r="P99" s="177">
        <f t="shared" si="14"/>
        <v>6.4350000000000005</v>
      </c>
    </row>
    <row r="100" spans="1:16" ht="12.75">
      <c r="A100" s="172" t="s">
        <v>233</v>
      </c>
      <c r="B100" s="176">
        <f>B158</f>
        <v>0.75</v>
      </c>
      <c r="C100" s="176">
        <f>C158</f>
        <v>0.8</v>
      </c>
      <c r="D100" s="176">
        <f>D158</f>
        <v>0.83</v>
      </c>
      <c r="E100" s="176">
        <f>B159</f>
        <v>0.75</v>
      </c>
      <c r="F100" s="176">
        <f>C159</f>
        <v>0.8</v>
      </c>
      <c r="G100" s="176">
        <f>D159</f>
        <v>0.83</v>
      </c>
      <c r="H100" s="176">
        <f>B156</f>
        <v>0.75</v>
      </c>
      <c r="I100" s="176">
        <f>C156</f>
        <v>0.8</v>
      </c>
      <c r="J100" s="176">
        <f>D156</f>
        <v>0.83</v>
      </c>
      <c r="K100" s="176">
        <f>B159</f>
        <v>0.75</v>
      </c>
      <c r="L100" s="176">
        <f>C159</f>
        <v>0.8</v>
      </c>
      <c r="M100" s="176">
        <f>D159</f>
        <v>0.83</v>
      </c>
      <c r="N100" s="176">
        <f>B157</f>
        <v>0.75</v>
      </c>
      <c r="O100" s="176">
        <f>C157</f>
        <v>0.8</v>
      </c>
      <c r="P100" s="176">
        <f>D157</f>
        <v>0.83</v>
      </c>
    </row>
    <row r="101" spans="1:16" ht="12.75">
      <c r="A101" s="172" t="s">
        <v>234</v>
      </c>
      <c r="B101" s="172"/>
      <c r="C101" s="170"/>
      <c r="D101" s="170"/>
      <c r="E101" s="170"/>
      <c r="F101" s="170"/>
      <c r="G101" s="170"/>
      <c r="H101" s="170"/>
      <c r="I101" s="170"/>
      <c r="J101" s="170"/>
      <c r="K101" s="170"/>
      <c r="L101" s="170"/>
      <c r="M101" s="170"/>
      <c r="N101" s="170"/>
      <c r="O101" s="170"/>
      <c r="P101" s="170"/>
    </row>
    <row r="102" spans="1:16" ht="12.75">
      <c r="A102" s="172"/>
      <c r="B102" s="172"/>
      <c r="C102" s="170"/>
      <c r="D102" s="170"/>
      <c r="E102" s="170"/>
      <c r="F102" s="170"/>
      <c r="G102" s="170"/>
      <c r="H102" s="170"/>
      <c r="I102" s="170"/>
      <c r="J102" s="170"/>
      <c r="K102" s="170"/>
      <c r="L102" s="170"/>
      <c r="M102" s="170"/>
      <c r="N102" s="170"/>
      <c r="O102" s="170"/>
      <c r="P102" s="170"/>
    </row>
    <row r="103" spans="1:16" ht="12.75">
      <c r="A103" s="174" t="s">
        <v>235</v>
      </c>
      <c r="B103" s="172"/>
      <c r="C103" s="170"/>
      <c r="D103" s="170"/>
      <c r="E103" s="170"/>
      <c r="F103" s="170"/>
      <c r="G103" s="170"/>
      <c r="H103" s="170"/>
      <c r="I103" s="170"/>
      <c r="J103" s="170"/>
      <c r="K103" s="170"/>
      <c r="L103" s="170"/>
      <c r="M103" s="170"/>
      <c r="N103" s="170"/>
      <c r="O103" s="170"/>
      <c r="P103" s="170"/>
    </row>
    <row r="104" spans="1:16" ht="12.75">
      <c r="A104" s="172" t="s">
        <v>230</v>
      </c>
      <c r="B104" s="177">
        <f>B139</f>
        <v>8.4</v>
      </c>
      <c r="C104" s="177">
        <f aca="true" t="shared" si="15" ref="C104:P104">C139</f>
        <v>8.4</v>
      </c>
      <c r="D104" s="177">
        <f t="shared" si="15"/>
        <v>8.4</v>
      </c>
      <c r="E104" s="177">
        <f t="shared" si="15"/>
        <v>8.32</v>
      </c>
      <c r="F104" s="177">
        <f t="shared" si="15"/>
        <v>8.32</v>
      </c>
      <c r="G104" s="177">
        <f t="shared" si="15"/>
        <v>8.32</v>
      </c>
      <c r="H104" s="177">
        <f t="shared" si="15"/>
        <v>7.44</v>
      </c>
      <c r="I104" s="177">
        <f t="shared" si="15"/>
        <v>7.44</v>
      </c>
      <c r="J104" s="177">
        <f t="shared" si="15"/>
        <v>7.44</v>
      </c>
      <c r="K104" s="177">
        <f t="shared" si="15"/>
        <v>7.44</v>
      </c>
      <c r="L104" s="177">
        <f t="shared" si="15"/>
        <v>7.44</v>
      </c>
      <c r="M104" s="177">
        <f t="shared" si="15"/>
        <v>7.44</v>
      </c>
      <c r="N104" s="177">
        <f t="shared" si="15"/>
        <v>7.12</v>
      </c>
      <c r="O104" s="177">
        <f t="shared" si="15"/>
        <v>7.12</v>
      </c>
      <c r="P104" s="177">
        <f t="shared" si="15"/>
        <v>7.12</v>
      </c>
    </row>
    <row r="105" spans="1:16" ht="12.75">
      <c r="A105" s="172" t="s">
        <v>231</v>
      </c>
      <c r="B105" s="175">
        <f aca="true" t="shared" si="16" ref="B105:P105">B104/3.413</f>
        <v>2.4611778493993555</v>
      </c>
      <c r="C105" s="175">
        <f t="shared" si="16"/>
        <v>2.4611778493993555</v>
      </c>
      <c r="D105" s="175">
        <f t="shared" si="16"/>
        <v>2.4611778493993555</v>
      </c>
      <c r="E105" s="175">
        <f t="shared" si="16"/>
        <v>2.437738060357457</v>
      </c>
      <c r="F105" s="175">
        <f t="shared" si="16"/>
        <v>2.437738060357457</v>
      </c>
      <c r="G105" s="175">
        <f t="shared" si="16"/>
        <v>2.437738060357457</v>
      </c>
      <c r="H105" s="175">
        <f t="shared" si="16"/>
        <v>2.179900380896572</v>
      </c>
      <c r="I105" s="175">
        <f t="shared" si="16"/>
        <v>2.179900380896572</v>
      </c>
      <c r="J105" s="175">
        <f t="shared" si="16"/>
        <v>2.179900380896572</v>
      </c>
      <c r="K105" s="175">
        <f t="shared" si="16"/>
        <v>2.179900380896572</v>
      </c>
      <c r="L105" s="175">
        <f t="shared" si="16"/>
        <v>2.179900380896572</v>
      </c>
      <c r="M105" s="175">
        <f t="shared" si="16"/>
        <v>2.179900380896572</v>
      </c>
      <c r="N105" s="175">
        <f t="shared" si="16"/>
        <v>2.0861412247289777</v>
      </c>
      <c r="O105" s="175">
        <f t="shared" si="16"/>
        <v>2.0861412247289777</v>
      </c>
      <c r="P105" s="175">
        <f t="shared" si="16"/>
        <v>2.0861412247289777</v>
      </c>
    </row>
    <row r="106" spans="1:16" ht="12.75">
      <c r="A106" s="172" t="s">
        <v>232</v>
      </c>
      <c r="B106" s="177">
        <f>B140</f>
        <v>7.800000000000001</v>
      </c>
      <c r="C106" s="177">
        <f aca="true" t="shared" si="17" ref="C106:P106">C140</f>
        <v>7.800000000000001</v>
      </c>
      <c r="D106" s="177">
        <f t="shared" si="17"/>
        <v>7.800000000000001</v>
      </c>
      <c r="E106" s="177">
        <f t="shared" si="17"/>
        <v>7.800000000000001</v>
      </c>
      <c r="F106" s="177">
        <f t="shared" si="17"/>
        <v>7.800000000000001</v>
      </c>
      <c r="G106" s="177">
        <f t="shared" si="17"/>
        <v>7.800000000000001</v>
      </c>
      <c r="H106" s="177">
        <f t="shared" si="17"/>
        <v>7.800000000000001</v>
      </c>
      <c r="I106" s="177">
        <f t="shared" si="17"/>
        <v>7.800000000000001</v>
      </c>
      <c r="J106" s="177">
        <f t="shared" si="17"/>
        <v>7.800000000000001</v>
      </c>
      <c r="K106" s="177">
        <f t="shared" si="17"/>
        <v>7.800000000000001</v>
      </c>
      <c r="L106" s="177">
        <f t="shared" si="17"/>
        <v>7.800000000000001</v>
      </c>
      <c r="M106" s="177">
        <f t="shared" si="17"/>
        <v>7.800000000000001</v>
      </c>
      <c r="N106" s="177">
        <f t="shared" si="17"/>
        <v>7.800000000000001</v>
      </c>
      <c r="O106" s="177">
        <f t="shared" si="17"/>
        <v>7.800000000000001</v>
      </c>
      <c r="P106" s="177">
        <f t="shared" si="17"/>
        <v>7.800000000000001</v>
      </c>
    </row>
    <row r="107" spans="1:16" ht="12.75">
      <c r="A107" s="172" t="s">
        <v>233</v>
      </c>
      <c r="B107" s="176">
        <f>B165</f>
        <v>0.85</v>
      </c>
      <c r="C107" s="176">
        <f>C165</f>
        <v>0.9</v>
      </c>
      <c r="D107" s="176">
        <f>D165</f>
        <v>0.9299999999999999</v>
      </c>
      <c r="E107" s="176">
        <f>B166</f>
        <v>0.85</v>
      </c>
      <c r="F107" s="176">
        <f>C166</f>
        <v>0.9</v>
      </c>
      <c r="G107" s="176">
        <f>D166</f>
        <v>0.9299999999999999</v>
      </c>
      <c r="H107" s="176">
        <f>B163</f>
        <v>0.85</v>
      </c>
      <c r="I107" s="176">
        <f>C163</f>
        <v>0.9</v>
      </c>
      <c r="J107" s="176">
        <f>D163</f>
        <v>0.9299999999999999</v>
      </c>
      <c r="K107" s="176">
        <f>B166</f>
        <v>0.85</v>
      </c>
      <c r="L107" s="176">
        <f>C166</f>
        <v>0.9</v>
      </c>
      <c r="M107" s="176">
        <f>D166</f>
        <v>0.9299999999999999</v>
      </c>
      <c r="N107" s="176">
        <f>B164</f>
        <v>0.85</v>
      </c>
      <c r="O107" s="176">
        <f>C164</f>
        <v>0.9</v>
      </c>
      <c r="P107" s="176">
        <f>D164</f>
        <v>0.9299999999999999</v>
      </c>
    </row>
    <row r="108" spans="1:16" ht="12.75">
      <c r="A108" s="172"/>
      <c r="B108" s="172"/>
      <c r="C108" s="170"/>
      <c r="D108" s="170"/>
      <c r="E108" s="170"/>
      <c r="F108" s="170"/>
      <c r="G108" s="170"/>
      <c r="H108" s="170"/>
      <c r="I108" s="170"/>
      <c r="J108" s="170"/>
      <c r="K108" s="170"/>
      <c r="L108" s="170"/>
      <c r="M108" s="170"/>
      <c r="N108" s="170"/>
      <c r="O108" s="170"/>
      <c r="P108" s="170"/>
    </row>
    <row r="109" spans="1:16" ht="12.75">
      <c r="A109" s="172"/>
      <c r="B109" s="172"/>
      <c r="C109" s="170"/>
      <c r="D109" s="170"/>
      <c r="E109" s="170"/>
      <c r="F109" s="170"/>
      <c r="G109" s="170"/>
      <c r="H109" s="170"/>
      <c r="I109" s="170"/>
      <c r="J109" s="170"/>
      <c r="K109" s="170"/>
      <c r="L109" s="170"/>
      <c r="M109" s="170"/>
      <c r="N109" s="170"/>
      <c r="O109" s="170"/>
      <c r="P109" s="170"/>
    </row>
    <row r="110" spans="1:16" ht="12.75">
      <c r="A110" s="174" t="s">
        <v>236</v>
      </c>
      <c r="B110" s="170"/>
      <c r="C110" s="170"/>
      <c r="D110" s="170"/>
      <c r="E110" s="170"/>
      <c r="F110" s="170"/>
      <c r="G110" s="170"/>
      <c r="H110" s="170"/>
      <c r="I110" s="170"/>
      <c r="J110" s="170"/>
      <c r="K110" s="170"/>
      <c r="L110" s="170"/>
      <c r="M110" s="170"/>
      <c r="N110" s="170"/>
      <c r="O110" s="170"/>
      <c r="P110" s="170"/>
    </row>
    <row r="111" spans="1:16" ht="12.75">
      <c r="A111" s="172" t="s">
        <v>237</v>
      </c>
      <c r="B111" s="178">
        <f aca="true" t="shared" si="18" ref="B111:P111">B93/B98/B100</f>
        <v>4261.276017825806</v>
      </c>
      <c r="C111" s="178">
        <f t="shared" si="18"/>
        <v>5479.608253750218</v>
      </c>
      <c r="D111" s="178">
        <f t="shared" si="18"/>
        <v>3672.035367442658</v>
      </c>
      <c r="E111" s="178">
        <f t="shared" si="18"/>
        <v>4927.703822183868</v>
      </c>
      <c r="F111" s="178">
        <f t="shared" si="18"/>
        <v>6336.927488913796</v>
      </c>
      <c r="G111" s="178">
        <f t="shared" si="18"/>
        <v>4028.597062969367</v>
      </c>
      <c r="H111" s="178">
        <f t="shared" si="18"/>
        <v>7057.605970437339</v>
      </c>
      <c r="I111" s="178">
        <f t="shared" si="18"/>
        <v>9097.8646909025</v>
      </c>
      <c r="J111" s="178">
        <f t="shared" si="18"/>
        <v>5949.853631494126</v>
      </c>
      <c r="K111" s="178">
        <f t="shared" si="18"/>
        <v>8273.149545843713</v>
      </c>
      <c r="L111" s="178">
        <f t="shared" si="18"/>
        <v>10678.256804171124</v>
      </c>
      <c r="M111" s="178">
        <f t="shared" si="18"/>
        <v>7113.273661756993</v>
      </c>
      <c r="N111" s="178">
        <f t="shared" si="18"/>
        <v>10188.085946142472</v>
      </c>
      <c r="O111" s="178">
        <f t="shared" si="18"/>
        <v>13226.070488192614</v>
      </c>
      <c r="P111" s="178">
        <f t="shared" si="18"/>
        <v>8825.941753369942</v>
      </c>
    </row>
    <row r="112" spans="1:16" ht="12.75">
      <c r="A112" s="172" t="s">
        <v>238</v>
      </c>
      <c r="B112" s="179">
        <f aca="true" t="shared" si="19" ref="B112:P112">B94/(B99/3.413)/B100</f>
        <v>1149.1854134735365</v>
      </c>
      <c r="C112" s="179">
        <f t="shared" si="19"/>
        <v>905.0934378907501</v>
      </c>
      <c r="D112" s="179">
        <f t="shared" si="19"/>
        <v>615.7214531762494</v>
      </c>
      <c r="E112" s="179">
        <f t="shared" si="19"/>
        <v>639.0063031611429</v>
      </c>
      <c r="F112" s="179">
        <f t="shared" si="19"/>
        <v>462.63509034166503</v>
      </c>
      <c r="G112" s="179">
        <f t="shared" si="19"/>
        <v>297.0600744422037</v>
      </c>
      <c r="H112" s="179">
        <f t="shared" si="19"/>
        <v>2219.502952349846</v>
      </c>
      <c r="I112" s="179">
        <f t="shared" si="19"/>
        <v>2418.290022810945</v>
      </c>
      <c r="J112" s="179">
        <f t="shared" si="19"/>
        <v>1735.8581273297486</v>
      </c>
      <c r="K112" s="179">
        <f t="shared" si="19"/>
        <v>1544.2597254926916</v>
      </c>
      <c r="L112" s="179">
        <f t="shared" si="19"/>
        <v>1337.2641578674147</v>
      </c>
      <c r="M112" s="179">
        <f t="shared" si="19"/>
        <v>946.2479079697836</v>
      </c>
      <c r="N112" s="179">
        <f t="shared" si="19"/>
        <v>1465.2855517116031</v>
      </c>
      <c r="O112" s="179">
        <f t="shared" si="19"/>
        <v>1250.5136897685811</v>
      </c>
      <c r="P112" s="179">
        <f t="shared" si="19"/>
        <v>872.215152365873</v>
      </c>
    </row>
    <row r="113" spans="1:16" ht="12.75">
      <c r="A113" s="172" t="s">
        <v>239</v>
      </c>
      <c r="B113" s="180">
        <f aca="true" t="shared" si="20" ref="B113:P113">B111/1600</f>
        <v>2.6632975111411286</v>
      </c>
      <c r="C113" s="180">
        <f t="shared" si="20"/>
        <v>3.4247551585938862</v>
      </c>
      <c r="D113" s="180">
        <f t="shared" si="20"/>
        <v>2.295022104651661</v>
      </c>
      <c r="E113" s="180">
        <f t="shared" si="20"/>
        <v>3.079814888864918</v>
      </c>
      <c r="F113" s="180">
        <f t="shared" si="20"/>
        <v>3.9605796805711226</v>
      </c>
      <c r="G113" s="180">
        <f t="shared" si="20"/>
        <v>2.5178731643558545</v>
      </c>
      <c r="H113" s="180">
        <f t="shared" si="20"/>
        <v>4.411003731523337</v>
      </c>
      <c r="I113" s="180">
        <f t="shared" si="20"/>
        <v>5.686165431814062</v>
      </c>
      <c r="J113" s="180">
        <f t="shared" si="20"/>
        <v>3.7186585196838284</v>
      </c>
      <c r="K113" s="180">
        <f t="shared" si="20"/>
        <v>5.17071846615232</v>
      </c>
      <c r="L113" s="180">
        <f t="shared" si="20"/>
        <v>6.673910502606953</v>
      </c>
      <c r="M113" s="180">
        <f t="shared" si="20"/>
        <v>4.445796038598121</v>
      </c>
      <c r="N113" s="180">
        <f t="shared" si="20"/>
        <v>6.367553716339045</v>
      </c>
      <c r="O113" s="180">
        <f t="shared" si="20"/>
        <v>8.266294055120383</v>
      </c>
      <c r="P113" s="180">
        <f t="shared" si="20"/>
        <v>5.516213595856214</v>
      </c>
    </row>
    <row r="114" spans="1:16" ht="12.75">
      <c r="A114" s="172" t="s">
        <v>240</v>
      </c>
      <c r="B114" s="180">
        <f aca="true" t="shared" si="21" ref="B114:P114">B112/1600</f>
        <v>0.7182408834209604</v>
      </c>
      <c r="C114" s="180">
        <f t="shared" si="21"/>
        <v>0.5656833986817188</v>
      </c>
      <c r="D114" s="180">
        <f t="shared" si="21"/>
        <v>0.3848259082351559</v>
      </c>
      <c r="E114" s="180">
        <f t="shared" si="21"/>
        <v>0.39937893947571435</v>
      </c>
      <c r="F114" s="180">
        <f t="shared" si="21"/>
        <v>0.28914693146354065</v>
      </c>
      <c r="G114" s="180">
        <f t="shared" si="21"/>
        <v>0.18566254652637731</v>
      </c>
      <c r="H114" s="180">
        <f t="shared" si="21"/>
        <v>1.387189345218654</v>
      </c>
      <c r="I114" s="180">
        <f t="shared" si="21"/>
        <v>1.5114312642568408</v>
      </c>
      <c r="J114" s="180">
        <f t="shared" si="21"/>
        <v>1.0849113295810928</v>
      </c>
      <c r="K114" s="180">
        <f t="shared" si="21"/>
        <v>0.9651623284329323</v>
      </c>
      <c r="L114" s="180">
        <f t="shared" si="21"/>
        <v>0.8357900986671342</v>
      </c>
      <c r="M114" s="180">
        <f t="shared" si="21"/>
        <v>0.5914049424811147</v>
      </c>
      <c r="N114" s="180">
        <f t="shared" si="21"/>
        <v>0.9158034698197519</v>
      </c>
      <c r="O114" s="180">
        <f t="shared" si="21"/>
        <v>0.7815710561053631</v>
      </c>
      <c r="P114" s="180">
        <f t="shared" si="21"/>
        <v>0.5451344702286707</v>
      </c>
    </row>
    <row r="115" spans="1:16" ht="12.75">
      <c r="A115" s="172" t="s">
        <v>241</v>
      </c>
      <c r="B115" s="179">
        <f aca="true" t="shared" si="22" ref="B115:P115">B111+B112</f>
        <v>5410.461431299343</v>
      </c>
      <c r="C115" s="179">
        <f t="shared" si="22"/>
        <v>6384.701691640968</v>
      </c>
      <c r="D115" s="179">
        <f t="shared" si="22"/>
        <v>4287.756820618907</v>
      </c>
      <c r="E115" s="179">
        <f t="shared" si="22"/>
        <v>5566.710125345011</v>
      </c>
      <c r="F115" s="179">
        <f t="shared" si="22"/>
        <v>6799.562579255461</v>
      </c>
      <c r="G115" s="179">
        <f t="shared" si="22"/>
        <v>4325.657137411571</v>
      </c>
      <c r="H115" s="179">
        <f t="shared" si="22"/>
        <v>9277.108922787185</v>
      </c>
      <c r="I115" s="179">
        <f t="shared" si="22"/>
        <v>11516.154713713444</v>
      </c>
      <c r="J115" s="179">
        <f t="shared" si="22"/>
        <v>7685.711758823874</v>
      </c>
      <c r="K115" s="179">
        <f t="shared" si="22"/>
        <v>9817.409271336404</v>
      </c>
      <c r="L115" s="179">
        <f t="shared" si="22"/>
        <v>12015.52096203854</v>
      </c>
      <c r="M115" s="179">
        <f t="shared" si="22"/>
        <v>8059.521569726776</v>
      </c>
      <c r="N115" s="179">
        <f t="shared" si="22"/>
        <v>11653.371497854074</v>
      </c>
      <c r="O115" s="179">
        <f t="shared" si="22"/>
        <v>14476.584177961195</v>
      </c>
      <c r="P115" s="179">
        <f t="shared" si="22"/>
        <v>9698.156905735814</v>
      </c>
    </row>
    <row r="116" spans="1:16" ht="12.75">
      <c r="A116" s="172" t="s">
        <v>242</v>
      </c>
      <c r="B116" s="180">
        <f aca="true" t="shared" si="23" ref="B116:P116">B113+B114</f>
        <v>3.3815383945620887</v>
      </c>
      <c r="C116" s="180">
        <f t="shared" si="23"/>
        <v>3.990438557275605</v>
      </c>
      <c r="D116" s="180">
        <f t="shared" si="23"/>
        <v>2.6798480128868167</v>
      </c>
      <c r="E116" s="180">
        <f t="shared" si="23"/>
        <v>3.479193828340632</v>
      </c>
      <c r="F116" s="180">
        <f t="shared" si="23"/>
        <v>4.249726612034664</v>
      </c>
      <c r="G116" s="180">
        <f t="shared" si="23"/>
        <v>2.7035357108822318</v>
      </c>
      <c r="H116" s="180">
        <f t="shared" si="23"/>
        <v>5.798193076741991</v>
      </c>
      <c r="I116" s="180">
        <f t="shared" si="23"/>
        <v>7.197596696070903</v>
      </c>
      <c r="J116" s="180">
        <f t="shared" si="23"/>
        <v>4.803569849264921</v>
      </c>
      <c r="K116" s="180">
        <f t="shared" si="23"/>
        <v>6.135880794585253</v>
      </c>
      <c r="L116" s="180">
        <f t="shared" si="23"/>
        <v>7.509700601274087</v>
      </c>
      <c r="M116" s="180">
        <f t="shared" si="23"/>
        <v>5.037200981079236</v>
      </c>
      <c r="N116" s="180">
        <f t="shared" si="23"/>
        <v>7.283357186158797</v>
      </c>
      <c r="O116" s="180">
        <f t="shared" si="23"/>
        <v>9.047865111225747</v>
      </c>
      <c r="P116" s="180">
        <f t="shared" si="23"/>
        <v>6.061348066084884</v>
      </c>
    </row>
    <row r="117" spans="1:16" ht="12.75">
      <c r="A117" s="181"/>
      <c r="B117" s="182"/>
      <c r="C117" s="182"/>
      <c r="D117" s="150"/>
      <c r="E117" s="150"/>
      <c r="F117" s="150"/>
      <c r="G117" s="150"/>
      <c r="H117" s="150"/>
      <c r="I117" s="150"/>
      <c r="J117" s="150"/>
      <c r="K117" s="150"/>
      <c r="L117" s="150"/>
      <c r="M117" s="150"/>
      <c r="N117" s="183"/>
      <c r="O117" s="150"/>
      <c r="P117" s="150"/>
    </row>
    <row r="118" spans="1:16" ht="12.75">
      <c r="A118" s="174" t="s">
        <v>243</v>
      </c>
      <c r="B118" s="170"/>
      <c r="C118" s="170"/>
      <c r="D118" s="170"/>
      <c r="E118" s="170"/>
      <c r="F118" s="170"/>
      <c r="G118" s="170"/>
      <c r="H118" s="170"/>
      <c r="I118" s="170"/>
      <c r="J118" s="170"/>
      <c r="K118" s="170"/>
      <c r="L118" s="170"/>
      <c r="M118" s="170"/>
      <c r="N118" s="170"/>
      <c r="O118" s="170"/>
      <c r="P118" s="170"/>
    </row>
    <row r="119" spans="1:16" ht="12.75">
      <c r="A119" s="172" t="s">
        <v>237</v>
      </c>
      <c r="B119" s="178">
        <f aca="true" t="shared" si="24" ref="B119:P119">B93/B105/B107</f>
        <v>2502.716337675267</v>
      </c>
      <c r="C119" s="178">
        <f t="shared" si="24"/>
        <v>3242.101550135546</v>
      </c>
      <c r="D119" s="178">
        <f t="shared" si="24"/>
        <v>2181.381493985845</v>
      </c>
      <c r="E119" s="178">
        <f t="shared" si="24"/>
        <v>2894.1201676245328</v>
      </c>
      <c r="F119" s="178">
        <f t="shared" si="24"/>
        <v>3749.348764273996</v>
      </c>
      <c r="G119" s="178">
        <f t="shared" si="24"/>
        <v>2393.19783186275</v>
      </c>
      <c r="H119" s="178">
        <f t="shared" si="24"/>
        <v>4145.046153593253</v>
      </c>
      <c r="I119" s="178">
        <f t="shared" si="24"/>
        <v>5382.903275450645</v>
      </c>
      <c r="J119" s="178">
        <f t="shared" si="24"/>
        <v>3534.524944596258</v>
      </c>
      <c r="K119" s="178">
        <f t="shared" si="24"/>
        <v>4858.954558634312</v>
      </c>
      <c r="L119" s="178">
        <f t="shared" si="24"/>
        <v>6317.96860913458</v>
      </c>
      <c r="M119" s="178">
        <f t="shared" si="24"/>
        <v>4225.6574282997935</v>
      </c>
      <c r="N119" s="178">
        <f t="shared" si="24"/>
        <v>5983.627683442131</v>
      </c>
      <c r="O119" s="178">
        <f t="shared" si="24"/>
        <v>7825.4250388472965</v>
      </c>
      <c r="P119" s="178">
        <f t="shared" si="24"/>
        <v>5243.0720516743</v>
      </c>
    </row>
    <row r="120" spans="1:16" ht="12.75">
      <c r="A120" s="172" t="s">
        <v>238</v>
      </c>
      <c r="B120" s="179">
        <f aca="true" t="shared" si="25" ref="B120:P120">B94/(B106/3.413)/B107</f>
        <v>836.5393818667657</v>
      </c>
      <c r="C120" s="179">
        <f t="shared" si="25"/>
        <v>663.7351877865502</v>
      </c>
      <c r="D120" s="179">
        <f t="shared" si="25"/>
        <v>453.34974737896437</v>
      </c>
      <c r="E120" s="179">
        <f t="shared" si="25"/>
        <v>465.15900009524375</v>
      </c>
      <c r="F120" s="179">
        <f t="shared" si="25"/>
        <v>339.26573291722104</v>
      </c>
      <c r="G120" s="179">
        <f t="shared" si="25"/>
        <v>218.72245803688062</v>
      </c>
      <c r="H120" s="179">
        <f t="shared" si="25"/>
        <v>1615.6675903134912</v>
      </c>
      <c r="I120" s="179">
        <f t="shared" si="25"/>
        <v>1773.4126833946934</v>
      </c>
      <c r="J120" s="179">
        <f t="shared" si="25"/>
        <v>1278.0955405258555</v>
      </c>
      <c r="K120" s="179">
        <f t="shared" si="25"/>
        <v>1124.1302413512976</v>
      </c>
      <c r="L120" s="179">
        <f t="shared" si="25"/>
        <v>980.6603824361042</v>
      </c>
      <c r="M120" s="179">
        <f t="shared" si="25"/>
        <v>696.7131774003327</v>
      </c>
      <c r="N120" s="179">
        <f t="shared" si="25"/>
        <v>1066.6416883782995</v>
      </c>
      <c r="O120" s="179">
        <f t="shared" si="25"/>
        <v>917.0433724969596</v>
      </c>
      <c r="P120" s="179">
        <f t="shared" si="25"/>
        <v>642.2035758951952</v>
      </c>
    </row>
    <row r="121" spans="1:16" ht="12.75">
      <c r="A121" s="172" t="s">
        <v>239</v>
      </c>
      <c r="B121" s="180">
        <f aca="true" t="shared" si="26" ref="B121:P121">B119/1600</f>
        <v>1.5641977110470418</v>
      </c>
      <c r="C121" s="180">
        <f t="shared" si="26"/>
        <v>2.0263134688347164</v>
      </c>
      <c r="D121" s="180">
        <f t="shared" si="26"/>
        <v>1.363363433741153</v>
      </c>
      <c r="E121" s="180">
        <f t="shared" si="26"/>
        <v>1.808825104765333</v>
      </c>
      <c r="F121" s="180">
        <f t="shared" si="26"/>
        <v>2.3433429776712473</v>
      </c>
      <c r="G121" s="180">
        <f t="shared" si="26"/>
        <v>1.4957486449142186</v>
      </c>
      <c r="H121" s="180">
        <f t="shared" si="26"/>
        <v>2.590653845995783</v>
      </c>
      <c r="I121" s="180">
        <f t="shared" si="26"/>
        <v>3.364314547156653</v>
      </c>
      <c r="J121" s="180">
        <f t="shared" si="26"/>
        <v>2.2090780903726612</v>
      </c>
      <c r="K121" s="180">
        <f t="shared" si="26"/>
        <v>3.036846599146445</v>
      </c>
      <c r="L121" s="180">
        <f t="shared" si="26"/>
        <v>3.9487303807091125</v>
      </c>
      <c r="M121" s="180">
        <f t="shared" si="26"/>
        <v>2.641035892687371</v>
      </c>
      <c r="N121" s="180">
        <f t="shared" si="26"/>
        <v>3.7397673021513316</v>
      </c>
      <c r="O121" s="180">
        <f t="shared" si="26"/>
        <v>4.8908906492795605</v>
      </c>
      <c r="P121" s="180">
        <f t="shared" si="26"/>
        <v>3.2769200322964376</v>
      </c>
    </row>
    <row r="122" spans="1:16" ht="12.75">
      <c r="A122" s="172" t="s">
        <v>240</v>
      </c>
      <c r="B122" s="180">
        <f aca="true" t="shared" si="27" ref="B122:P122">B120/1600</f>
        <v>0.5228371136667286</v>
      </c>
      <c r="C122" s="180">
        <f t="shared" si="27"/>
        <v>0.41483449236659387</v>
      </c>
      <c r="D122" s="180">
        <f t="shared" si="27"/>
        <v>0.2833435921118527</v>
      </c>
      <c r="E122" s="180">
        <f t="shared" si="27"/>
        <v>0.29072437505952736</v>
      </c>
      <c r="F122" s="180">
        <f t="shared" si="27"/>
        <v>0.21204108307326316</v>
      </c>
      <c r="G122" s="180">
        <f t="shared" si="27"/>
        <v>0.1367015362730504</v>
      </c>
      <c r="H122" s="180">
        <f t="shared" si="27"/>
        <v>1.009792243945932</v>
      </c>
      <c r="I122" s="180">
        <f t="shared" si="27"/>
        <v>1.1083829271216834</v>
      </c>
      <c r="J122" s="180">
        <f t="shared" si="27"/>
        <v>0.7988097128286598</v>
      </c>
      <c r="K122" s="180">
        <f t="shared" si="27"/>
        <v>0.702581400844561</v>
      </c>
      <c r="L122" s="180">
        <f t="shared" si="27"/>
        <v>0.6129127390225652</v>
      </c>
      <c r="M122" s="180">
        <f t="shared" si="27"/>
        <v>0.43544573587520796</v>
      </c>
      <c r="N122" s="180">
        <f t="shared" si="27"/>
        <v>0.6666510552364372</v>
      </c>
      <c r="O122" s="180">
        <f t="shared" si="27"/>
        <v>0.5731521078105998</v>
      </c>
      <c r="P122" s="180">
        <f t="shared" si="27"/>
        <v>0.401377234934497</v>
      </c>
    </row>
    <row r="123" spans="1:16" ht="12.75">
      <c r="A123" s="172" t="s">
        <v>241</v>
      </c>
      <c r="B123" s="179">
        <f aca="true" t="shared" si="28" ref="B123:P123">B119+B120</f>
        <v>3339.2557195420327</v>
      </c>
      <c r="C123" s="179">
        <f t="shared" si="28"/>
        <v>3905.8367379220963</v>
      </c>
      <c r="D123" s="179">
        <f t="shared" si="28"/>
        <v>2634.731241364809</v>
      </c>
      <c r="E123" s="179">
        <f t="shared" si="28"/>
        <v>3359.2791677197765</v>
      </c>
      <c r="F123" s="179">
        <f t="shared" si="28"/>
        <v>4088.614497191217</v>
      </c>
      <c r="G123" s="179">
        <f t="shared" si="28"/>
        <v>2611.9202898996305</v>
      </c>
      <c r="H123" s="179">
        <f t="shared" si="28"/>
        <v>5760.713743906744</v>
      </c>
      <c r="I123" s="179">
        <f t="shared" si="28"/>
        <v>7156.315958845338</v>
      </c>
      <c r="J123" s="179">
        <f t="shared" si="28"/>
        <v>4812.620485122114</v>
      </c>
      <c r="K123" s="179">
        <f t="shared" si="28"/>
        <v>5983.08479998561</v>
      </c>
      <c r="L123" s="179">
        <f t="shared" si="28"/>
        <v>7298.628991570685</v>
      </c>
      <c r="M123" s="179">
        <f t="shared" si="28"/>
        <v>4922.370605700126</v>
      </c>
      <c r="N123" s="179">
        <f t="shared" si="28"/>
        <v>7050.26937182043</v>
      </c>
      <c r="O123" s="179">
        <f t="shared" si="28"/>
        <v>8742.468411344256</v>
      </c>
      <c r="P123" s="179">
        <f t="shared" si="28"/>
        <v>5885.275627569496</v>
      </c>
    </row>
    <row r="124" spans="1:16" ht="12.75">
      <c r="A124" s="172" t="s">
        <v>242</v>
      </c>
      <c r="B124" s="180">
        <f aca="true" t="shared" si="29" ref="B124:P124">B121+B122</f>
        <v>2.08703482471377</v>
      </c>
      <c r="C124" s="180">
        <f t="shared" si="29"/>
        <v>2.4411479612013105</v>
      </c>
      <c r="D124" s="180">
        <f t="shared" si="29"/>
        <v>1.6467070258530059</v>
      </c>
      <c r="E124" s="180">
        <f t="shared" si="29"/>
        <v>2.0995494798248604</v>
      </c>
      <c r="F124" s="180">
        <f t="shared" si="29"/>
        <v>2.5553840607445104</v>
      </c>
      <c r="G124" s="180">
        <f t="shared" si="29"/>
        <v>1.632450181187269</v>
      </c>
      <c r="H124" s="180">
        <f t="shared" si="29"/>
        <v>3.6004460899417148</v>
      </c>
      <c r="I124" s="180">
        <f t="shared" si="29"/>
        <v>4.472697474278337</v>
      </c>
      <c r="J124" s="180">
        <f t="shared" si="29"/>
        <v>3.0078878032013208</v>
      </c>
      <c r="K124" s="180">
        <f t="shared" si="29"/>
        <v>3.739427999991006</v>
      </c>
      <c r="L124" s="180">
        <f t="shared" si="29"/>
        <v>4.561643119731678</v>
      </c>
      <c r="M124" s="180">
        <f t="shared" si="29"/>
        <v>3.076481628562579</v>
      </c>
      <c r="N124" s="180">
        <f t="shared" si="29"/>
        <v>4.406418357387769</v>
      </c>
      <c r="O124" s="180">
        <f t="shared" si="29"/>
        <v>5.46404275709016</v>
      </c>
      <c r="P124" s="180">
        <f t="shared" si="29"/>
        <v>3.6782972672309344</v>
      </c>
    </row>
    <row r="125" spans="1:57" ht="12.75">
      <c r="A125" s="18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1"/>
      <c r="BC125" s="181"/>
      <c r="BD125" s="181"/>
      <c r="BE125" s="181"/>
    </row>
    <row r="126" spans="1:57" ht="13.5" thickBot="1">
      <c r="A126" s="345"/>
      <c r="B126" s="344" t="s">
        <v>181</v>
      </c>
      <c r="C126" s="345"/>
      <c r="D126" s="346"/>
      <c r="E126" s="344" t="s">
        <v>182</v>
      </c>
      <c r="F126" s="345"/>
      <c r="G126" s="346"/>
      <c r="H126" s="344" t="s">
        <v>183</v>
      </c>
      <c r="I126" s="345"/>
      <c r="J126" s="346"/>
      <c r="K126" s="344" t="s">
        <v>184</v>
      </c>
      <c r="L126" s="345"/>
      <c r="M126" s="346"/>
      <c r="N126" s="344" t="s">
        <v>185</v>
      </c>
      <c r="O126" s="345"/>
      <c r="P126" s="346"/>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181"/>
      <c r="BB126" s="181"/>
      <c r="BC126" s="181"/>
      <c r="BD126" s="181"/>
      <c r="BE126" s="181"/>
    </row>
    <row r="127" spans="1:57" ht="51.75" thickBot="1">
      <c r="A127" s="347" t="s">
        <v>448</v>
      </c>
      <c r="B127" s="348" t="s">
        <v>449</v>
      </c>
      <c r="C127" s="348" t="s">
        <v>384</v>
      </c>
      <c r="D127" s="349" t="s">
        <v>385</v>
      </c>
      <c r="E127" s="348" t="s">
        <v>449</v>
      </c>
      <c r="F127" s="348" t="s">
        <v>384</v>
      </c>
      <c r="G127" s="349" t="s">
        <v>385</v>
      </c>
      <c r="H127" s="348" t="s">
        <v>449</v>
      </c>
      <c r="I127" s="348" t="s">
        <v>384</v>
      </c>
      <c r="J127" s="349" t="s">
        <v>385</v>
      </c>
      <c r="K127" s="348" t="s">
        <v>449</v>
      </c>
      <c r="L127" s="348" t="s">
        <v>384</v>
      </c>
      <c r="M127" s="349" t="s">
        <v>385</v>
      </c>
      <c r="N127" s="348" t="s">
        <v>449</v>
      </c>
      <c r="O127" s="348" t="s">
        <v>384</v>
      </c>
      <c r="P127" s="349" t="s">
        <v>385</v>
      </c>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c r="AS127" s="181"/>
      <c r="AT127" s="181"/>
      <c r="AU127" s="181"/>
      <c r="AV127" s="181"/>
      <c r="AW127" s="181"/>
      <c r="AX127" s="181"/>
      <c r="AY127" s="181"/>
      <c r="AZ127" s="181"/>
      <c r="BA127" s="181"/>
      <c r="BB127" s="181"/>
      <c r="BC127" s="181"/>
      <c r="BD127" s="181"/>
      <c r="BE127" s="181"/>
    </row>
    <row r="128" spans="1:57" ht="12.75">
      <c r="A128" s="350" t="s">
        <v>244</v>
      </c>
      <c r="B128" s="351">
        <v>7.1</v>
      </c>
      <c r="C128" s="352">
        <f>B128</f>
        <v>7.1</v>
      </c>
      <c r="D128" s="185">
        <f aca="true" t="shared" si="30" ref="D128:O129">C128</f>
        <v>7.1</v>
      </c>
      <c r="E128" s="351">
        <f t="shared" si="30"/>
        <v>7.1</v>
      </c>
      <c r="F128" s="352">
        <f t="shared" si="30"/>
        <v>7.1</v>
      </c>
      <c r="G128" s="185">
        <f t="shared" si="30"/>
        <v>7.1</v>
      </c>
      <c r="H128" s="351">
        <f t="shared" si="30"/>
        <v>7.1</v>
      </c>
      <c r="I128" s="352">
        <f t="shared" si="30"/>
        <v>7.1</v>
      </c>
      <c r="J128" s="185">
        <f t="shared" si="30"/>
        <v>7.1</v>
      </c>
      <c r="K128" s="351">
        <f t="shared" si="30"/>
        <v>7.1</v>
      </c>
      <c r="L128" s="352">
        <f t="shared" si="30"/>
        <v>7.1</v>
      </c>
      <c r="M128" s="185">
        <f t="shared" si="30"/>
        <v>7.1</v>
      </c>
      <c r="N128" s="351">
        <f t="shared" si="30"/>
        <v>7.1</v>
      </c>
      <c r="O128" s="352">
        <f t="shared" si="30"/>
        <v>7.1</v>
      </c>
      <c r="P128" s="185">
        <f>O128</f>
        <v>7.1</v>
      </c>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1"/>
      <c r="BE128" s="181"/>
    </row>
    <row r="129" spans="1:57" ht="12.75">
      <c r="A129" s="350" t="s">
        <v>245</v>
      </c>
      <c r="B129" s="353">
        <v>11</v>
      </c>
      <c r="C129" s="177">
        <f>B129</f>
        <v>11</v>
      </c>
      <c r="D129" s="187">
        <f t="shared" si="30"/>
        <v>11</v>
      </c>
      <c r="E129" s="353">
        <f t="shared" si="30"/>
        <v>11</v>
      </c>
      <c r="F129" s="177">
        <f t="shared" si="30"/>
        <v>11</v>
      </c>
      <c r="G129" s="187">
        <f t="shared" si="30"/>
        <v>11</v>
      </c>
      <c r="H129" s="353">
        <f t="shared" si="30"/>
        <v>11</v>
      </c>
      <c r="I129" s="177">
        <f t="shared" si="30"/>
        <v>11</v>
      </c>
      <c r="J129" s="187">
        <f t="shared" si="30"/>
        <v>11</v>
      </c>
      <c r="K129" s="353">
        <f t="shared" si="30"/>
        <v>11</v>
      </c>
      <c r="L129" s="177">
        <f t="shared" si="30"/>
        <v>11</v>
      </c>
      <c r="M129" s="187">
        <f t="shared" si="30"/>
        <v>11</v>
      </c>
      <c r="N129" s="353">
        <f t="shared" si="30"/>
        <v>11</v>
      </c>
      <c r="O129" s="177">
        <f t="shared" si="30"/>
        <v>11</v>
      </c>
      <c r="P129" s="187">
        <f>O129</f>
        <v>11</v>
      </c>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1"/>
      <c r="AY129" s="181"/>
      <c r="AZ129" s="181"/>
      <c r="BA129" s="181"/>
      <c r="BB129" s="181"/>
      <c r="BC129" s="181"/>
      <c r="BD129" s="181"/>
      <c r="BE129" s="181"/>
    </row>
    <row r="130" spans="1:57" ht="12.75">
      <c r="A130" s="354" t="s">
        <v>450</v>
      </c>
      <c r="B130" s="355">
        <f aca="true" t="shared" si="31" ref="B130:P130">(B128*B132)</f>
        <v>5.59125</v>
      </c>
      <c r="C130" s="356">
        <f t="shared" si="31"/>
        <v>5.59125</v>
      </c>
      <c r="D130" s="357">
        <f t="shared" si="31"/>
        <v>5.59125</v>
      </c>
      <c r="E130" s="355">
        <f t="shared" si="31"/>
        <v>5.538</v>
      </c>
      <c r="F130" s="356">
        <f t="shared" si="31"/>
        <v>5.538</v>
      </c>
      <c r="G130" s="357">
        <f t="shared" si="31"/>
        <v>5.538</v>
      </c>
      <c r="H130" s="355">
        <f t="shared" si="31"/>
        <v>4.952249999999999</v>
      </c>
      <c r="I130" s="356">
        <f t="shared" si="31"/>
        <v>4.952249999999999</v>
      </c>
      <c r="J130" s="357">
        <f t="shared" si="31"/>
        <v>4.952249999999999</v>
      </c>
      <c r="K130" s="355">
        <f t="shared" si="31"/>
        <v>4.952249999999999</v>
      </c>
      <c r="L130" s="356">
        <f t="shared" si="31"/>
        <v>4.952249999999999</v>
      </c>
      <c r="M130" s="357">
        <f t="shared" si="31"/>
        <v>4.952249999999999</v>
      </c>
      <c r="N130" s="355">
        <f t="shared" si="31"/>
        <v>4.739249999999999</v>
      </c>
      <c r="O130" s="356">
        <f t="shared" si="31"/>
        <v>4.739249999999999</v>
      </c>
      <c r="P130" s="357">
        <f t="shared" si="31"/>
        <v>4.739249999999999</v>
      </c>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181"/>
      <c r="BB130" s="181"/>
      <c r="BC130" s="181"/>
      <c r="BD130" s="181"/>
      <c r="BE130" s="181"/>
    </row>
    <row r="131" spans="1:57" ht="12.75">
      <c r="A131" s="350" t="s">
        <v>451</v>
      </c>
      <c r="B131" s="355">
        <f aca="true" t="shared" si="32" ref="B131:P131">(B129*B134)</f>
        <v>6.4350000000000005</v>
      </c>
      <c r="C131" s="356">
        <f t="shared" si="32"/>
        <v>6.4350000000000005</v>
      </c>
      <c r="D131" s="357">
        <f t="shared" si="32"/>
        <v>6.4350000000000005</v>
      </c>
      <c r="E131" s="355">
        <f t="shared" si="32"/>
        <v>6.4350000000000005</v>
      </c>
      <c r="F131" s="356">
        <f t="shared" si="32"/>
        <v>6.4350000000000005</v>
      </c>
      <c r="G131" s="357">
        <f t="shared" si="32"/>
        <v>6.4350000000000005</v>
      </c>
      <c r="H131" s="355">
        <f t="shared" si="32"/>
        <v>6.4350000000000005</v>
      </c>
      <c r="I131" s="356">
        <f t="shared" si="32"/>
        <v>6.4350000000000005</v>
      </c>
      <c r="J131" s="357">
        <f t="shared" si="32"/>
        <v>6.4350000000000005</v>
      </c>
      <c r="K131" s="355">
        <f t="shared" si="32"/>
        <v>6.4350000000000005</v>
      </c>
      <c r="L131" s="356">
        <f t="shared" si="32"/>
        <v>6.4350000000000005</v>
      </c>
      <c r="M131" s="357">
        <f t="shared" si="32"/>
        <v>6.4350000000000005</v>
      </c>
      <c r="N131" s="355">
        <f t="shared" si="32"/>
        <v>6.4350000000000005</v>
      </c>
      <c r="O131" s="356">
        <f t="shared" si="32"/>
        <v>6.4350000000000005</v>
      </c>
      <c r="P131" s="357">
        <f t="shared" si="32"/>
        <v>6.4350000000000005</v>
      </c>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c r="BE131" s="181"/>
    </row>
    <row r="132" spans="1:57" ht="12.75">
      <c r="A132" s="358" t="s">
        <v>452</v>
      </c>
      <c r="B132" s="359">
        <v>0.7875</v>
      </c>
      <c r="C132" s="360">
        <f aca="true" t="shared" si="33" ref="C132:D135">B132</f>
        <v>0.7875</v>
      </c>
      <c r="D132" s="361">
        <f t="shared" si="33"/>
        <v>0.7875</v>
      </c>
      <c r="E132" s="359">
        <v>0.78</v>
      </c>
      <c r="F132" s="360">
        <f aca="true" t="shared" si="34" ref="F132:G135">E132</f>
        <v>0.78</v>
      </c>
      <c r="G132" s="361">
        <f t="shared" si="34"/>
        <v>0.78</v>
      </c>
      <c r="H132" s="359">
        <v>0.6975</v>
      </c>
      <c r="I132" s="360">
        <f aca="true" t="shared" si="35" ref="I132:J135">H132</f>
        <v>0.6975</v>
      </c>
      <c r="J132" s="361">
        <f t="shared" si="35"/>
        <v>0.6975</v>
      </c>
      <c r="K132" s="359">
        <v>0.6975</v>
      </c>
      <c r="L132" s="360">
        <f aca="true" t="shared" si="36" ref="L132:M135">K132</f>
        <v>0.6975</v>
      </c>
      <c r="M132" s="361">
        <f t="shared" si="36"/>
        <v>0.6975</v>
      </c>
      <c r="N132" s="359">
        <v>0.6675</v>
      </c>
      <c r="O132" s="360">
        <f aca="true" t="shared" si="37" ref="O132:P135">N132</f>
        <v>0.6675</v>
      </c>
      <c r="P132" s="361">
        <f t="shared" si="37"/>
        <v>0.6675</v>
      </c>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row>
    <row r="133" spans="1:57" ht="12.75">
      <c r="A133" s="358" t="s">
        <v>453</v>
      </c>
      <c r="B133" s="359">
        <v>1.05</v>
      </c>
      <c r="C133" s="360">
        <f t="shared" si="33"/>
        <v>1.05</v>
      </c>
      <c r="D133" s="361">
        <f t="shared" si="33"/>
        <v>1.05</v>
      </c>
      <c r="E133" s="359">
        <v>1.04</v>
      </c>
      <c r="F133" s="360">
        <f t="shared" si="34"/>
        <v>1.04</v>
      </c>
      <c r="G133" s="361">
        <f t="shared" si="34"/>
        <v>1.04</v>
      </c>
      <c r="H133" s="359">
        <v>0.93</v>
      </c>
      <c r="I133" s="360">
        <f t="shared" si="35"/>
        <v>0.93</v>
      </c>
      <c r="J133" s="361">
        <f t="shared" si="35"/>
        <v>0.93</v>
      </c>
      <c r="K133" s="359">
        <v>0.93</v>
      </c>
      <c r="L133" s="360">
        <f t="shared" si="36"/>
        <v>0.93</v>
      </c>
      <c r="M133" s="361">
        <f t="shared" si="36"/>
        <v>0.93</v>
      </c>
      <c r="N133" s="359">
        <v>0.89</v>
      </c>
      <c r="O133" s="360">
        <f t="shared" si="37"/>
        <v>0.89</v>
      </c>
      <c r="P133" s="361">
        <f t="shared" si="37"/>
        <v>0.89</v>
      </c>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181"/>
      <c r="BB133" s="181"/>
      <c r="BC133" s="181"/>
      <c r="BD133" s="181"/>
      <c r="BE133" s="181"/>
    </row>
    <row r="134" spans="1:57" ht="12.75">
      <c r="A134" s="358" t="s">
        <v>454</v>
      </c>
      <c r="B134" s="362">
        <f>65%*0.9</f>
        <v>0.5850000000000001</v>
      </c>
      <c r="C134" s="363">
        <f t="shared" si="33"/>
        <v>0.5850000000000001</v>
      </c>
      <c r="D134" s="364">
        <f t="shared" si="33"/>
        <v>0.5850000000000001</v>
      </c>
      <c r="E134" s="362">
        <f>65%*0.9</f>
        <v>0.5850000000000001</v>
      </c>
      <c r="F134" s="363">
        <f t="shared" si="34"/>
        <v>0.5850000000000001</v>
      </c>
      <c r="G134" s="364">
        <f t="shared" si="34"/>
        <v>0.5850000000000001</v>
      </c>
      <c r="H134" s="362">
        <f>65%*0.9</f>
        <v>0.5850000000000001</v>
      </c>
      <c r="I134" s="363">
        <f t="shared" si="35"/>
        <v>0.5850000000000001</v>
      </c>
      <c r="J134" s="364">
        <f t="shared" si="35"/>
        <v>0.5850000000000001</v>
      </c>
      <c r="K134" s="362">
        <f>65%*0.9</f>
        <v>0.5850000000000001</v>
      </c>
      <c r="L134" s="363">
        <f t="shared" si="36"/>
        <v>0.5850000000000001</v>
      </c>
      <c r="M134" s="364">
        <f t="shared" si="36"/>
        <v>0.5850000000000001</v>
      </c>
      <c r="N134" s="362">
        <f>65%*0.9</f>
        <v>0.5850000000000001</v>
      </c>
      <c r="O134" s="363">
        <f t="shared" si="37"/>
        <v>0.5850000000000001</v>
      </c>
      <c r="P134" s="364">
        <f t="shared" si="37"/>
        <v>0.5850000000000001</v>
      </c>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181"/>
      <c r="BB134" s="181"/>
      <c r="BC134" s="181"/>
      <c r="BD134" s="181"/>
      <c r="BE134" s="181"/>
    </row>
    <row r="135" spans="1:57" ht="13.5" thickBot="1">
      <c r="A135" s="358" t="s">
        <v>455</v>
      </c>
      <c r="B135" s="365">
        <v>0.65</v>
      </c>
      <c r="C135" s="366">
        <f t="shared" si="33"/>
        <v>0.65</v>
      </c>
      <c r="D135" s="367">
        <f t="shared" si="33"/>
        <v>0.65</v>
      </c>
      <c r="E135" s="365">
        <v>0.65</v>
      </c>
      <c r="F135" s="366">
        <f t="shared" si="34"/>
        <v>0.65</v>
      </c>
      <c r="G135" s="367">
        <f t="shared" si="34"/>
        <v>0.65</v>
      </c>
      <c r="H135" s="365">
        <v>0.65</v>
      </c>
      <c r="I135" s="366">
        <f t="shared" si="35"/>
        <v>0.65</v>
      </c>
      <c r="J135" s="367">
        <f t="shared" si="35"/>
        <v>0.65</v>
      </c>
      <c r="K135" s="365">
        <v>0.65</v>
      </c>
      <c r="L135" s="366">
        <f t="shared" si="36"/>
        <v>0.65</v>
      </c>
      <c r="M135" s="367">
        <f t="shared" si="36"/>
        <v>0.65</v>
      </c>
      <c r="N135" s="365">
        <v>0.65</v>
      </c>
      <c r="O135" s="366">
        <f t="shared" si="37"/>
        <v>0.65</v>
      </c>
      <c r="P135" s="367">
        <f t="shared" si="37"/>
        <v>0.65</v>
      </c>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c r="AS135" s="181"/>
      <c r="AT135" s="181"/>
      <c r="AU135" s="181"/>
      <c r="AV135" s="181"/>
      <c r="AW135" s="181"/>
      <c r="AX135" s="181"/>
      <c r="AY135" s="181"/>
      <c r="AZ135" s="181"/>
      <c r="BA135" s="181"/>
      <c r="BB135" s="181"/>
      <c r="BC135" s="181"/>
      <c r="BD135" s="181"/>
      <c r="BE135" s="181"/>
    </row>
    <row r="136" spans="1:57" ht="13.5" thickBot="1">
      <c r="A136" s="368" t="s">
        <v>456</v>
      </c>
      <c r="B136" s="369"/>
      <c r="C136" s="370"/>
      <c r="D136" s="371"/>
      <c r="E136" s="369"/>
      <c r="F136" s="370"/>
      <c r="G136" s="371"/>
      <c r="H136" s="369"/>
      <c r="I136" s="370"/>
      <c r="J136" s="371"/>
      <c r="K136" s="369"/>
      <c r="L136" s="370"/>
      <c r="M136" s="371"/>
      <c r="N136" s="369"/>
      <c r="O136" s="370"/>
      <c r="P136" s="37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c r="AS136" s="181"/>
      <c r="AT136" s="181"/>
      <c r="AU136" s="181"/>
      <c r="AV136" s="181"/>
      <c r="AW136" s="181"/>
      <c r="AX136" s="181"/>
      <c r="AY136" s="181"/>
      <c r="AZ136" s="181"/>
      <c r="BA136" s="181"/>
      <c r="BB136" s="181"/>
      <c r="BC136" s="181"/>
      <c r="BD136" s="181"/>
      <c r="BE136" s="181"/>
    </row>
    <row r="137" spans="1:57" ht="12.75">
      <c r="A137" s="184" t="s">
        <v>244</v>
      </c>
      <c r="B137" s="351">
        <v>8</v>
      </c>
      <c r="C137" s="352">
        <f>B137</f>
        <v>8</v>
      </c>
      <c r="D137" s="352">
        <f>C137</f>
        <v>8</v>
      </c>
      <c r="E137" s="351">
        <f aca="true" t="shared" si="38" ref="E137:P138">B137</f>
        <v>8</v>
      </c>
      <c r="F137" s="351">
        <f t="shared" si="38"/>
        <v>8</v>
      </c>
      <c r="G137" s="351">
        <f t="shared" si="38"/>
        <v>8</v>
      </c>
      <c r="H137" s="351">
        <f t="shared" si="38"/>
        <v>8</v>
      </c>
      <c r="I137" s="351">
        <f t="shared" si="38"/>
        <v>8</v>
      </c>
      <c r="J137" s="351">
        <f t="shared" si="38"/>
        <v>8</v>
      </c>
      <c r="K137" s="351">
        <f t="shared" si="38"/>
        <v>8</v>
      </c>
      <c r="L137" s="351">
        <f t="shared" si="38"/>
        <v>8</v>
      </c>
      <c r="M137" s="351">
        <f t="shared" si="38"/>
        <v>8</v>
      </c>
      <c r="N137" s="351">
        <f t="shared" si="38"/>
        <v>8</v>
      </c>
      <c r="O137" s="351">
        <f t="shared" si="38"/>
        <v>8</v>
      </c>
      <c r="P137" s="351">
        <f t="shared" si="38"/>
        <v>8</v>
      </c>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81"/>
      <c r="AS137" s="181"/>
      <c r="AT137" s="181"/>
      <c r="AU137" s="181"/>
      <c r="AV137" s="181"/>
      <c r="AW137" s="181"/>
      <c r="AX137" s="181"/>
      <c r="AY137" s="181"/>
      <c r="AZ137" s="181"/>
      <c r="BA137" s="181"/>
      <c r="BB137" s="181"/>
      <c r="BC137" s="181"/>
      <c r="BD137" s="181"/>
      <c r="BE137" s="181"/>
    </row>
    <row r="138" spans="1:57" ht="12.75">
      <c r="A138" s="186" t="s">
        <v>245</v>
      </c>
      <c r="B138" s="353">
        <v>12</v>
      </c>
      <c r="C138" s="177">
        <f>B138</f>
        <v>12</v>
      </c>
      <c r="D138" s="177">
        <f>C138</f>
        <v>12</v>
      </c>
      <c r="E138" s="353">
        <f t="shared" si="38"/>
        <v>12</v>
      </c>
      <c r="F138" s="353">
        <f t="shared" si="38"/>
        <v>12</v>
      </c>
      <c r="G138" s="353">
        <f t="shared" si="38"/>
        <v>12</v>
      </c>
      <c r="H138" s="353">
        <f t="shared" si="38"/>
        <v>12</v>
      </c>
      <c r="I138" s="353">
        <f t="shared" si="38"/>
        <v>12</v>
      </c>
      <c r="J138" s="353">
        <f t="shared" si="38"/>
        <v>12</v>
      </c>
      <c r="K138" s="353">
        <f t="shared" si="38"/>
        <v>12</v>
      </c>
      <c r="L138" s="353">
        <f t="shared" si="38"/>
        <v>12</v>
      </c>
      <c r="M138" s="353">
        <f t="shared" si="38"/>
        <v>12</v>
      </c>
      <c r="N138" s="353">
        <f t="shared" si="38"/>
        <v>12</v>
      </c>
      <c r="O138" s="353">
        <f t="shared" si="38"/>
        <v>12</v>
      </c>
      <c r="P138" s="353">
        <f t="shared" si="38"/>
        <v>12</v>
      </c>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181"/>
      <c r="BB138" s="181"/>
      <c r="BC138" s="181"/>
      <c r="BD138" s="181"/>
      <c r="BE138" s="181"/>
    </row>
    <row r="139" spans="1:57" ht="12.75">
      <c r="A139" s="354" t="s">
        <v>450</v>
      </c>
      <c r="B139" s="355">
        <f>IF($T$142=1,(B137*B142),(B137*B141))</f>
        <v>8.4</v>
      </c>
      <c r="C139" s="356">
        <f aca="true" t="shared" si="39" ref="C139:P139">IF($T$142=1,(C137*C142),(C137*C141))</f>
        <v>8.4</v>
      </c>
      <c r="D139" s="357">
        <f t="shared" si="39"/>
        <v>8.4</v>
      </c>
      <c r="E139" s="355">
        <f t="shared" si="39"/>
        <v>8.32</v>
      </c>
      <c r="F139" s="356">
        <f t="shared" si="39"/>
        <v>8.32</v>
      </c>
      <c r="G139" s="357">
        <f t="shared" si="39"/>
        <v>8.32</v>
      </c>
      <c r="H139" s="355">
        <f t="shared" si="39"/>
        <v>7.44</v>
      </c>
      <c r="I139" s="356">
        <f t="shared" si="39"/>
        <v>7.44</v>
      </c>
      <c r="J139" s="357">
        <f t="shared" si="39"/>
        <v>7.44</v>
      </c>
      <c r="K139" s="355">
        <f t="shared" si="39"/>
        <v>7.44</v>
      </c>
      <c r="L139" s="356">
        <f t="shared" si="39"/>
        <v>7.44</v>
      </c>
      <c r="M139" s="357">
        <f t="shared" si="39"/>
        <v>7.44</v>
      </c>
      <c r="N139" s="355">
        <f t="shared" si="39"/>
        <v>7.12</v>
      </c>
      <c r="O139" s="356">
        <f t="shared" si="39"/>
        <v>7.12</v>
      </c>
      <c r="P139" s="357">
        <f t="shared" si="39"/>
        <v>7.12</v>
      </c>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181"/>
      <c r="BB139" s="181"/>
      <c r="BC139" s="181"/>
      <c r="BD139" s="181"/>
      <c r="BE139" s="181"/>
    </row>
    <row r="140" spans="1:57" ht="12.75">
      <c r="A140" s="350" t="s">
        <v>451</v>
      </c>
      <c r="B140" s="355">
        <f>IF($T$142=1,(B138*B144),(B138*B143))</f>
        <v>7.800000000000001</v>
      </c>
      <c r="C140" s="356">
        <f aca="true" t="shared" si="40" ref="C140:P140">IF($T$142=1,(C138*C144),(C138*C143))</f>
        <v>7.800000000000001</v>
      </c>
      <c r="D140" s="357">
        <f t="shared" si="40"/>
        <v>7.800000000000001</v>
      </c>
      <c r="E140" s="355">
        <f t="shared" si="40"/>
        <v>7.800000000000001</v>
      </c>
      <c r="F140" s="356">
        <f t="shared" si="40"/>
        <v>7.800000000000001</v>
      </c>
      <c r="G140" s="357">
        <f t="shared" si="40"/>
        <v>7.800000000000001</v>
      </c>
      <c r="H140" s="355">
        <f t="shared" si="40"/>
        <v>7.800000000000001</v>
      </c>
      <c r="I140" s="356">
        <f t="shared" si="40"/>
        <v>7.800000000000001</v>
      </c>
      <c r="J140" s="357">
        <f t="shared" si="40"/>
        <v>7.800000000000001</v>
      </c>
      <c r="K140" s="355">
        <f t="shared" si="40"/>
        <v>7.800000000000001</v>
      </c>
      <c r="L140" s="356">
        <f t="shared" si="40"/>
        <v>7.800000000000001</v>
      </c>
      <c r="M140" s="357">
        <f t="shared" si="40"/>
        <v>7.800000000000001</v>
      </c>
      <c r="N140" s="355">
        <f t="shared" si="40"/>
        <v>7.800000000000001</v>
      </c>
      <c r="O140" s="356">
        <f t="shared" si="40"/>
        <v>7.800000000000001</v>
      </c>
      <c r="P140" s="357">
        <f t="shared" si="40"/>
        <v>7.800000000000001</v>
      </c>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c r="AS140" s="181"/>
      <c r="AT140" s="181"/>
      <c r="AU140" s="181"/>
      <c r="AV140" s="181"/>
      <c r="AW140" s="181"/>
      <c r="AX140" s="181"/>
      <c r="AY140" s="181"/>
      <c r="AZ140" s="181"/>
      <c r="BA140" s="181"/>
      <c r="BB140" s="181"/>
      <c r="BC140" s="181"/>
      <c r="BD140" s="181"/>
      <c r="BE140" s="181"/>
    </row>
    <row r="141" spans="1:57" ht="12.75">
      <c r="A141" s="358" t="s">
        <v>452</v>
      </c>
      <c r="B141" s="359">
        <v>0.7875</v>
      </c>
      <c r="C141" s="360">
        <f aca="true" t="shared" si="41" ref="C141:D144">B141</f>
        <v>0.7875</v>
      </c>
      <c r="D141" s="361">
        <f t="shared" si="41"/>
        <v>0.7875</v>
      </c>
      <c r="E141" s="359">
        <v>0.78</v>
      </c>
      <c r="F141" s="360">
        <f aca="true" t="shared" si="42" ref="F141:G144">E141</f>
        <v>0.78</v>
      </c>
      <c r="G141" s="361">
        <f t="shared" si="42"/>
        <v>0.78</v>
      </c>
      <c r="H141" s="359">
        <v>0.6975</v>
      </c>
      <c r="I141" s="360">
        <f aca="true" t="shared" si="43" ref="I141:J144">H141</f>
        <v>0.6975</v>
      </c>
      <c r="J141" s="361">
        <f t="shared" si="43"/>
        <v>0.6975</v>
      </c>
      <c r="K141" s="359">
        <v>0.6975</v>
      </c>
      <c r="L141" s="360">
        <f aca="true" t="shared" si="44" ref="L141:M144">K141</f>
        <v>0.6975</v>
      </c>
      <c r="M141" s="361">
        <f t="shared" si="44"/>
        <v>0.6975</v>
      </c>
      <c r="N141" s="359">
        <v>0.6675</v>
      </c>
      <c r="O141" s="360">
        <f aca="true" t="shared" si="45" ref="O141:P144">N141</f>
        <v>0.6675</v>
      </c>
      <c r="P141" s="361">
        <f t="shared" si="45"/>
        <v>0.6675</v>
      </c>
      <c r="R141" s="375" t="s">
        <v>463</v>
      </c>
      <c r="T141" s="375" t="s">
        <v>464</v>
      </c>
      <c r="U141" s="181"/>
      <c r="V141" s="181"/>
      <c r="W141" s="181"/>
      <c r="X141" s="181"/>
      <c r="Y141" s="181"/>
      <c r="Z141" s="181"/>
      <c r="AA141" s="181"/>
      <c r="AB141" s="181"/>
      <c r="AC141" s="181"/>
      <c r="AD141" s="181"/>
      <c r="AE141" s="181"/>
      <c r="AF141" s="181"/>
      <c r="AG141" s="181"/>
      <c r="AH141" s="181"/>
      <c r="AI141" s="181"/>
      <c r="AJ141" s="181"/>
      <c r="AK141" s="181"/>
      <c r="AL141" s="181"/>
      <c r="AM141" s="181"/>
      <c r="AN141" s="181"/>
      <c r="AO141" s="181"/>
      <c r="AP141" s="181"/>
      <c r="AQ141" s="181"/>
      <c r="AR141" s="181"/>
      <c r="AS141" s="181"/>
      <c r="AT141" s="181"/>
      <c r="AU141" s="181"/>
      <c r="AV141" s="181"/>
      <c r="AW141" s="181"/>
      <c r="AX141" s="181"/>
      <c r="AY141" s="181"/>
      <c r="AZ141" s="181"/>
      <c r="BA141" s="181"/>
      <c r="BB141" s="181"/>
      <c r="BC141" s="181"/>
      <c r="BD141" s="181"/>
      <c r="BE141" s="181"/>
    </row>
    <row r="142" spans="1:57" ht="12.75">
      <c r="A142" s="358" t="s">
        <v>453</v>
      </c>
      <c r="B142" s="359">
        <v>1.05</v>
      </c>
      <c r="C142" s="360">
        <f t="shared" si="41"/>
        <v>1.05</v>
      </c>
      <c r="D142" s="361">
        <f t="shared" si="41"/>
        <v>1.05</v>
      </c>
      <c r="E142" s="359">
        <v>1.04</v>
      </c>
      <c r="F142" s="360">
        <f t="shared" si="42"/>
        <v>1.04</v>
      </c>
      <c r="G142" s="361">
        <f t="shared" si="42"/>
        <v>1.04</v>
      </c>
      <c r="H142" s="359">
        <v>0.93</v>
      </c>
      <c r="I142" s="360">
        <f t="shared" si="43"/>
        <v>0.93</v>
      </c>
      <c r="J142" s="361">
        <f t="shared" si="43"/>
        <v>0.93</v>
      </c>
      <c r="K142" s="359">
        <v>0.93</v>
      </c>
      <c r="L142" s="360">
        <f t="shared" si="44"/>
        <v>0.93</v>
      </c>
      <c r="M142" s="361">
        <f t="shared" si="44"/>
        <v>0.93</v>
      </c>
      <c r="N142" s="359">
        <v>0.89</v>
      </c>
      <c r="O142" s="360">
        <f t="shared" si="45"/>
        <v>0.89</v>
      </c>
      <c r="P142" s="361">
        <f t="shared" si="45"/>
        <v>0.89</v>
      </c>
      <c r="R142" s="170">
        <v>1</v>
      </c>
      <c r="T142" s="170">
        <v>1</v>
      </c>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181"/>
      <c r="AQ142" s="181"/>
      <c r="AR142" s="181"/>
      <c r="AS142" s="181"/>
      <c r="AT142" s="181"/>
      <c r="AU142" s="181"/>
      <c r="AV142" s="181"/>
      <c r="AW142" s="181"/>
      <c r="AX142" s="181"/>
      <c r="AY142" s="181"/>
      <c r="AZ142" s="181"/>
      <c r="BA142" s="181"/>
      <c r="BB142" s="181"/>
      <c r="BC142" s="181"/>
      <c r="BD142" s="181"/>
      <c r="BE142" s="181"/>
    </row>
    <row r="143" spans="1:57" ht="12.75">
      <c r="A143" s="358" t="s">
        <v>454</v>
      </c>
      <c r="B143" s="362">
        <f>65%*0.9</f>
        <v>0.5850000000000001</v>
      </c>
      <c r="C143" s="363">
        <f t="shared" si="41"/>
        <v>0.5850000000000001</v>
      </c>
      <c r="D143" s="364">
        <f t="shared" si="41"/>
        <v>0.5850000000000001</v>
      </c>
      <c r="E143" s="362">
        <f>65%*0.9</f>
        <v>0.5850000000000001</v>
      </c>
      <c r="F143" s="363">
        <f t="shared" si="42"/>
        <v>0.5850000000000001</v>
      </c>
      <c r="G143" s="364">
        <f t="shared" si="42"/>
        <v>0.5850000000000001</v>
      </c>
      <c r="H143" s="362">
        <f>65%*0.9</f>
        <v>0.5850000000000001</v>
      </c>
      <c r="I143" s="363">
        <f t="shared" si="43"/>
        <v>0.5850000000000001</v>
      </c>
      <c r="J143" s="364">
        <f t="shared" si="43"/>
        <v>0.5850000000000001</v>
      </c>
      <c r="K143" s="362">
        <f>65%*0.9</f>
        <v>0.5850000000000001</v>
      </c>
      <c r="L143" s="363">
        <f t="shared" si="44"/>
        <v>0.5850000000000001</v>
      </c>
      <c r="M143" s="364">
        <f t="shared" si="44"/>
        <v>0.5850000000000001</v>
      </c>
      <c r="N143" s="362">
        <f>65%*0.9</f>
        <v>0.5850000000000001</v>
      </c>
      <c r="O143" s="363">
        <f t="shared" si="45"/>
        <v>0.5850000000000001</v>
      </c>
      <c r="P143" s="364">
        <f t="shared" si="45"/>
        <v>0.5850000000000001</v>
      </c>
      <c r="R143" s="174" t="s">
        <v>457</v>
      </c>
      <c r="T143" s="174" t="s">
        <v>457</v>
      </c>
      <c r="U143" s="181"/>
      <c r="V143" s="181"/>
      <c r="W143" s="181"/>
      <c r="X143" s="181"/>
      <c r="Y143" s="181"/>
      <c r="Z143" s="181"/>
      <c r="AA143" s="181"/>
      <c r="AB143" s="181"/>
      <c r="AC143" s="181"/>
      <c r="AD143" s="181"/>
      <c r="AE143" s="181"/>
      <c r="AF143" s="181"/>
      <c r="AG143" s="181"/>
      <c r="AH143" s="181"/>
      <c r="AI143" s="181"/>
      <c r="AJ143" s="181"/>
      <c r="AK143" s="181"/>
      <c r="AL143" s="181"/>
      <c r="AM143" s="181"/>
      <c r="AN143" s="181"/>
      <c r="AO143" s="181"/>
      <c r="AP143" s="181"/>
      <c r="AQ143" s="181"/>
      <c r="AR143" s="181"/>
      <c r="AS143" s="181"/>
      <c r="AT143" s="181"/>
      <c r="AU143" s="181"/>
      <c r="AV143" s="181"/>
      <c r="AW143" s="181"/>
      <c r="AX143" s="181"/>
      <c r="AY143" s="181"/>
      <c r="AZ143" s="181"/>
      <c r="BA143" s="181"/>
      <c r="BB143" s="181"/>
      <c r="BC143" s="181"/>
      <c r="BD143" s="181"/>
      <c r="BE143" s="181"/>
    </row>
    <row r="144" spans="1:57" ht="13.5" thickBot="1">
      <c r="A144" s="358" t="s">
        <v>455</v>
      </c>
      <c r="B144" s="365">
        <v>0.65</v>
      </c>
      <c r="C144" s="366">
        <f t="shared" si="41"/>
        <v>0.65</v>
      </c>
      <c r="D144" s="367">
        <f t="shared" si="41"/>
        <v>0.65</v>
      </c>
      <c r="E144" s="365">
        <v>0.65</v>
      </c>
      <c r="F144" s="366">
        <f t="shared" si="42"/>
        <v>0.65</v>
      </c>
      <c r="G144" s="367">
        <f t="shared" si="42"/>
        <v>0.65</v>
      </c>
      <c r="H144" s="365">
        <v>0.65</v>
      </c>
      <c r="I144" s="366">
        <f t="shared" si="43"/>
        <v>0.65</v>
      </c>
      <c r="J144" s="367">
        <f t="shared" si="43"/>
        <v>0.65</v>
      </c>
      <c r="K144" s="365">
        <v>0.65</v>
      </c>
      <c r="L144" s="366">
        <f t="shared" si="44"/>
        <v>0.65</v>
      </c>
      <c r="M144" s="367">
        <f t="shared" si="44"/>
        <v>0.65</v>
      </c>
      <c r="N144" s="365">
        <v>0.65</v>
      </c>
      <c r="O144" s="366">
        <f t="shared" si="45"/>
        <v>0.65</v>
      </c>
      <c r="P144" s="367">
        <f t="shared" si="45"/>
        <v>0.65</v>
      </c>
      <c r="R144" s="174" t="s">
        <v>458</v>
      </c>
      <c r="T144" s="174" t="s">
        <v>458</v>
      </c>
      <c r="U144" s="181"/>
      <c r="V144" s="181"/>
      <c r="W144" s="181"/>
      <c r="X144" s="181"/>
      <c r="Y144" s="181"/>
      <c r="Z144" s="181"/>
      <c r="AA144" s="181"/>
      <c r="AB144" s="181"/>
      <c r="AC144" s="181"/>
      <c r="AD144" s="181"/>
      <c r="AE144" s="181"/>
      <c r="AF144" s="181"/>
      <c r="AG144" s="181"/>
      <c r="AH144" s="181"/>
      <c r="AI144" s="181"/>
      <c r="AJ144" s="181"/>
      <c r="AK144" s="181"/>
      <c r="AL144" s="181"/>
      <c r="AM144" s="181"/>
      <c r="AN144" s="181"/>
      <c r="AO144" s="181"/>
      <c r="AP144" s="181"/>
      <c r="AQ144" s="181"/>
      <c r="AR144" s="181"/>
      <c r="AS144" s="181"/>
      <c r="AT144" s="181"/>
      <c r="AU144" s="181"/>
      <c r="AV144" s="181"/>
      <c r="AW144" s="181"/>
      <c r="AX144" s="181"/>
      <c r="AY144" s="181"/>
      <c r="AZ144" s="181"/>
      <c r="BA144" s="181"/>
      <c r="BB144" s="181"/>
      <c r="BC144" s="181"/>
      <c r="BD144" s="181"/>
      <c r="BE144" s="181"/>
    </row>
    <row r="145" spans="1:57" ht="13.5" thickBot="1">
      <c r="A145" s="186"/>
      <c r="B145" s="372"/>
      <c r="C145" s="372"/>
      <c r="D145" s="372"/>
      <c r="E145" s="372"/>
      <c r="F145" s="372"/>
      <c r="G145" s="372"/>
      <c r="H145" s="372"/>
      <c r="I145" s="372"/>
      <c r="J145" s="372"/>
      <c r="K145" s="372"/>
      <c r="L145" s="372"/>
      <c r="M145" s="372"/>
      <c r="N145" s="372"/>
      <c r="O145" s="372"/>
      <c r="P145" s="372"/>
      <c r="S145" s="181"/>
      <c r="T145" s="181"/>
      <c r="U145" s="181"/>
      <c r="V145" s="181"/>
      <c r="W145" s="181"/>
      <c r="X145" s="181"/>
      <c r="Y145" s="181"/>
      <c r="Z145" s="181"/>
      <c r="AA145" s="181"/>
      <c r="AB145" s="181"/>
      <c r="AC145" s="181"/>
      <c r="AD145" s="181"/>
      <c r="AE145" s="181"/>
      <c r="AF145" s="181"/>
      <c r="AG145" s="181"/>
      <c r="AH145" s="181"/>
      <c r="AI145" s="181"/>
      <c r="AJ145" s="181"/>
      <c r="AK145" s="181"/>
      <c r="AL145" s="181"/>
      <c r="AM145" s="181"/>
      <c r="AN145" s="181"/>
      <c r="AO145" s="181"/>
      <c r="AP145" s="181"/>
      <c r="AQ145" s="181"/>
      <c r="AR145" s="181"/>
      <c r="AS145" s="181"/>
      <c r="AT145" s="181"/>
      <c r="AU145" s="181"/>
      <c r="AV145" s="181"/>
      <c r="AW145" s="181"/>
      <c r="AX145" s="181"/>
      <c r="AY145" s="181"/>
      <c r="AZ145" s="181"/>
      <c r="BA145" s="181"/>
      <c r="BB145" s="181"/>
      <c r="BC145" s="181"/>
      <c r="BD145" s="181"/>
      <c r="BE145" s="181"/>
    </row>
    <row r="146" spans="1:57" ht="23.25" customHeight="1" thickBot="1">
      <c r="A146" s="373" t="s">
        <v>461</v>
      </c>
      <c r="B146" s="374"/>
      <c r="C146" s="182"/>
      <c r="D146" s="150"/>
      <c r="E146" s="150"/>
      <c r="F146" s="150"/>
      <c r="G146" s="150"/>
      <c r="H146" s="150"/>
      <c r="I146" s="150"/>
      <c r="J146" s="150"/>
      <c r="K146" s="150"/>
      <c r="L146" s="150"/>
      <c r="M146" s="150"/>
      <c r="N146" s="183"/>
      <c r="O146" s="150"/>
      <c r="P146" s="150"/>
      <c r="S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c r="AR146" s="181"/>
      <c r="AS146" s="181"/>
      <c r="AT146" s="181"/>
      <c r="AU146" s="181"/>
      <c r="AV146" s="181"/>
      <c r="AW146" s="181"/>
      <c r="AX146" s="181"/>
      <c r="AY146" s="181"/>
      <c r="AZ146" s="181"/>
      <c r="BA146" s="181"/>
      <c r="BB146" s="181"/>
      <c r="BC146" s="181"/>
      <c r="BD146" s="181"/>
      <c r="BE146" s="181"/>
    </row>
    <row r="147" spans="1:57" ht="21.75" customHeight="1" thickBot="1">
      <c r="A147" s="373" t="s">
        <v>462</v>
      </c>
      <c r="B147" s="373"/>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c r="AM147" s="181"/>
      <c r="AN147" s="181"/>
      <c r="AO147" s="181"/>
      <c r="AP147" s="181"/>
      <c r="AQ147" s="181"/>
      <c r="AR147" s="181"/>
      <c r="AS147" s="181"/>
      <c r="AT147" s="181"/>
      <c r="AU147" s="181"/>
      <c r="AV147" s="181"/>
      <c r="AW147" s="181"/>
      <c r="AX147" s="181"/>
      <c r="AY147" s="181"/>
      <c r="AZ147" s="181"/>
      <c r="BA147" s="181"/>
      <c r="BB147" s="181"/>
      <c r="BC147" s="181"/>
      <c r="BD147" s="181"/>
      <c r="BE147" s="181"/>
    </row>
    <row r="148" spans="1:57" ht="12.75">
      <c r="A148" s="18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81"/>
      <c r="AP148" s="181"/>
      <c r="AQ148" s="181"/>
      <c r="AR148" s="181"/>
      <c r="AS148" s="181"/>
      <c r="AT148" s="181"/>
      <c r="AU148" s="181"/>
      <c r="AV148" s="181"/>
      <c r="AW148" s="181"/>
      <c r="AX148" s="181"/>
      <c r="AY148" s="181"/>
      <c r="AZ148" s="181"/>
      <c r="BA148" s="181"/>
      <c r="BB148" s="181"/>
      <c r="BC148" s="181"/>
      <c r="BD148" s="181"/>
      <c r="BE148" s="181"/>
    </row>
    <row r="149" spans="1:57" ht="12.75">
      <c r="A149" s="18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81"/>
      <c r="AP149" s="181"/>
      <c r="AQ149" s="181"/>
      <c r="AR149" s="181"/>
      <c r="AS149" s="181"/>
      <c r="AT149" s="181"/>
      <c r="AU149" s="181"/>
      <c r="AV149" s="181"/>
      <c r="AW149" s="181"/>
      <c r="AX149" s="181"/>
      <c r="AY149" s="181"/>
      <c r="AZ149" s="181"/>
      <c r="BA149" s="181"/>
      <c r="BB149" s="181"/>
      <c r="BC149" s="181"/>
      <c r="BD149" s="181"/>
      <c r="BE149" s="181"/>
    </row>
    <row r="150" spans="1:57" ht="12.75">
      <c r="A150" s="18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c r="AR150" s="181"/>
      <c r="AS150" s="181"/>
      <c r="AT150" s="181"/>
      <c r="AU150" s="181"/>
      <c r="AV150" s="181"/>
      <c r="AW150" s="181"/>
      <c r="AX150" s="181"/>
      <c r="AY150" s="181"/>
      <c r="AZ150" s="181"/>
      <c r="BA150" s="181"/>
      <c r="BB150" s="181"/>
      <c r="BC150" s="181"/>
      <c r="BD150" s="181"/>
      <c r="BE150" s="181"/>
    </row>
    <row r="151" spans="1:57" ht="12.75">
      <c r="A151" s="18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c r="AR151" s="181"/>
      <c r="AS151" s="181"/>
      <c r="AT151" s="181"/>
      <c r="AU151" s="181"/>
      <c r="AV151" s="181"/>
      <c r="AW151" s="181"/>
      <c r="AX151" s="181"/>
      <c r="AY151" s="181"/>
      <c r="AZ151" s="181"/>
      <c r="BA151" s="181"/>
      <c r="BB151" s="181"/>
      <c r="BC151" s="181"/>
      <c r="BD151" s="181"/>
      <c r="BE151" s="181"/>
    </row>
    <row r="152" spans="1:57" ht="12.75">
      <c r="A152" s="18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181"/>
      <c r="AL152" s="181"/>
      <c r="AM152" s="181"/>
      <c r="AN152" s="181"/>
      <c r="AO152" s="181"/>
      <c r="AP152" s="181"/>
      <c r="AQ152" s="181"/>
      <c r="AR152" s="181"/>
      <c r="AS152" s="181"/>
      <c r="AT152" s="181"/>
      <c r="AU152" s="181"/>
      <c r="AV152" s="181"/>
      <c r="AW152" s="181"/>
      <c r="AX152" s="181"/>
      <c r="AY152" s="181"/>
      <c r="AZ152" s="181"/>
      <c r="BA152" s="181"/>
      <c r="BB152" s="181"/>
      <c r="BC152" s="181"/>
      <c r="BD152" s="181"/>
      <c r="BE152" s="181"/>
    </row>
    <row r="153" spans="1:57" ht="13.5" thickBot="1">
      <c r="A153" s="18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c r="AS153" s="181"/>
      <c r="AT153" s="181"/>
      <c r="AU153" s="181"/>
      <c r="AV153" s="181"/>
      <c r="AW153" s="181"/>
      <c r="AX153" s="181"/>
      <c r="AY153" s="181"/>
      <c r="AZ153" s="181"/>
      <c r="BA153" s="181"/>
      <c r="BB153" s="181"/>
      <c r="BC153" s="181"/>
      <c r="BD153" s="181"/>
      <c r="BE153" s="181"/>
    </row>
    <row r="154" spans="1:4" ht="13.5" thickBot="1">
      <c r="A154" s="188" t="s">
        <v>246</v>
      </c>
      <c r="B154" s="189"/>
      <c r="C154" s="189"/>
      <c r="D154" s="190"/>
    </row>
    <row r="155" spans="1:5" ht="13.5" thickBot="1">
      <c r="A155" s="340" t="s">
        <v>118</v>
      </c>
      <c r="B155" s="341" t="s">
        <v>247</v>
      </c>
      <c r="C155" s="341" t="s">
        <v>248</v>
      </c>
      <c r="D155" s="342" t="s">
        <v>249</v>
      </c>
      <c r="E155" t="s">
        <v>250</v>
      </c>
    </row>
    <row r="156" spans="1:5" ht="12.75">
      <c r="A156" s="191" t="s">
        <v>183</v>
      </c>
      <c r="B156" s="192">
        <v>0.75</v>
      </c>
      <c r="C156" s="192">
        <v>0.8</v>
      </c>
      <c r="D156" s="334">
        <v>0.83</v>
      </c>
      <c r="E156" t="s">
        <v>251</v>
      </c>
    </row>
    <row r="157" spans="1:5" ht="12.75">
      <c r="A157" s="193" t="s">
        <v>185</v>
      </c>
      <c r="B157" s="192">
        <v>0.75</v>
      </c>
      <c r="C157" s="192">
        <v>0.8</v>
      </c>
      <c r="D157" s="334">
        <v>0.83</v>
      </c>
      <c r="E157" t="s">
        <v>252</v>
      </c>
    </row>
    <row r="158" spans="1:5" ht="12.75">
      <c r="A158" s="193" t="s">
        <v>181</v>
      </c>
      <c r="B158" s="192">
        <v>0.75</v>
      </c>
      <c r="C158" s="192">
        <v>0.8</v>
      </c>
      <c r="D158" s="334">
        <v>0.83</v>
      </c>
      <c r="E158" t="s">
        <v>253</v>
      </c>
    </row>
    <row r="159" spans="1:5" ht="13.5" thickBot="1">
      <c r="A159" s="194" t="s">
        <v>182</v>
      </c>
      <c r="B159" s="192">
        <v>0.75</v>
      </c>
      <c r="C159" s="192">
        <v>0.8</v>
      </c>
      <c r="D159" s="334">
        <v>0.83</v>
      </c>
      <c r="E159" t="s">
        <v>254</v>
      </c>
    </row>
    <row r="160" spans="1:4" ht="13.5" thickBot="1">
      <c r="A160" s="188" t="s">
        <v>255</v>
      </c>
      <c r="B160" s="189"/>
      <c r="C160" s="189"/>
      <c r="D160" s="190"/>
    </row>
    <row r="161" spans="1:4" ht="12.75">
      <c r="A161" s="195" t="s">
        <v>118</v>
      </c>
      <c r="B161" s="196" t="s">
        <v>247</v>
      </c>
      <c r="C161" s="197" t="s">
        <v>248</v>
      </c>
      <c r="D161" s="197" t="s">
        <v>249</v>
      </c>
    </row>
    <row r="162" spans="1:5" ht="12.75">
      <c r="A162" s="193" t="s">
        <v>256</v>
      </c>
      <c r="B162" s="198">
        <f>IF($R142=1,10%,0)</f>
        <v>0.1</v>
      </c>
      <c r="C162" s="198">
        <f>IF($R142=1,10%,0)</f>
        <v>0.1</v>
      </c>
      <c r="D162" s="198">
        <f>IF($R142=1,10%,0)</f>
        <v>0.1</v>
      </c>
      <c r="E162" t="s">
        <v>257</v>
      </c>
    </row>
    <row r="163" spans="1:5" ht="12.75">
      <c r="A163" s="191" t="s">
        <v>183</v>
      </c>
      <c r="B163" s="199">
        <f aca="true" t="shared" si="46" ref="B163:D166">B156+B$162</f>
        <v>0.85</v>
      </c>
      <c r="C163" s="199">
        <f t="shared" si="46"/>
        <v>0.9</v>
      </c>
      <c r="D163" s="335">
        <f t="shared" si="46"/>
        <v>0.9299999999999999</v>
      </c>
      <c r="E163" t="s">
        <v>258</v>
      </c>
    </row>
    <row r="164" spans="1:4" ht="12.75">
      <c r="A164" s="193" t="s">
        <v>185</v>
      </c>
      <c r="B164" s="199">
        <f t="shared" si="46"/>
        <v>0.85</v>
      </c>
      <c r="C164" s="199">
        <f t="shared" si="46"/>
        <v>0.9</v>
      </c>
      <c r="D164" s="335">
        <f t="shared" si="46"/>
        <v>0.9299999999999999</v>
      </c>
    </row>
    <row r="165" spans="1:4" ht="12.75">
      <c r="A165" s="193" t="s">
        <v>181</v>
      </c>
      <c r="B165" s="199">
        <f t="shared" si="46"/>
        <v>0.85</v>
      </c>
      <c r="C165" s="199">
        <f t="shared" si="46"/>
        <v>0.9</v>
      </c>
      <c r="D165" s="335">
        <f t="shared" si="46"/>
        <v>0.9299999999999999</v>
      </c>
    </row>
    <row r="166" spans="1:4" ht="13.5" thickBot="1">
      <c r="A166" s="129" t="s">
        <v>182</v>
      </c>
      <c r="B166" s="336">
        <f t="shared" si="46"/>
        <v>0.85</v>
      </c>
      <c r="C166" s="336">
        <f t="shared" si="46"/>
        <v>0.9</v>
      </c>
      <c r="D166" s="337">
        <f t="shared" si="46"/>
        <v>0.9299999999999999</v>
      </c>
    </row>
    <row r="170" ht="12.75">
      <c r="A170" s="181"/>
    </row>
    <row r="171" ht="13.5" thickBot="1"/>
    <row r="172" spans="1:2" ht="13.5" thickBot="1">
      <c r="A172" s="200" t="s">
        <v>259</v>
      </c>
      <c r="B172" s="201" t="s">
        <v>260</v>
      </c>
    </row>
    <row r="173" spans="1:3" ht="12.75">
      <c r="A173" s="191" t="s">
        <v>261</v>
      </c>
      <c r="B173" s="202">
        <v>6444</v>
      </c>
      <c r="C173" s="203"/>
    </row>
    <row r="174" spans="1:3" ht="12.75">
      <c r="A174" s="193" t="s">
        <v>262</v>
      </c>
      <c r="B174" s="204">
        <v>6001</v>
      </c>
      <c r="C174" s="205">
        <f>B174/B173</f>
        <v>0.931253879577902</v>
      </c>
    </row>
    <row r="175" spans="1:3" ht="12.75">
      <c r="A175" s="193" t="s">
        <v>263</v>
      </c>
      <c r="B175" s="204">
        <v>7119</v>
      </c>
      <c r="C175" s="205">
        <f>B175/B173</f>
        <v>1.1047486033519553</v>
      </c>
    </row>
    <row r="176" spans="1:3" ht="12.75">
      <c r="A176" s="193" t="s">
        <v>264</v>
      </c>
      <c r="B176" s="204">
        <v>7935</v>
      </c>
      <c r="C176" s="205"/>
    </row>
    <row r="177" spans="1:3" ht="12.75">
      <c r="A177" s="193" t="s">
        <v>265</v>
      </c>
      <c r="B177" s="204">
        <v>4950</v>
      </c>
      <c r="C177" s="205"/>
    </row>
    <row r="178" spans="1:3" ht="12.75">
      <c r="A178" s="193" t="s">
        <v>266</v>
      </c>
      <c r="B178" s="204">
        <v>5114</v>
      </c>
      <c r="C178" s="205"/>
    </row>
    <row r="179" spans="1:3" ht="12.75">
      <c r="A179" s="193" t="s">
        <v>267</v>
      </c>
      <c r="B179" s="204">
        <v>4928</v>
      </c>
      <c r="C179" s="205">
        <f>B179/B178</f>
        <v>0.9636292530308955</v>
      </c>
    </row>
    <row r="180" spans="1:3" ht="13.5" thickBot="1">
      <c r="A180" s="129" t="s">
        <v>268</v>
      </c>
      <c r="B180" s="206">
        <v>6874</v>
      </c>
      <c r="C180" s="205">
        <f>B180/B179</f>
        <v>1.3948863636363635</v>
      </c>
    </row>
    <row r="181" ht="13.5" thickBot="1"/>
    <row r="182" spans="1:9" ht="13.5" thickBot="1">
      <c r="A182" s="460" t="s">
        <v>269</v>
      </c>
      <c r="B182" s="467"/>
      <c r="C182" s="467"/>
      <c r="D182" s="467"/>
      <c r="E182" s="467"/>
      <c r="F182" s="467"/>
      <c r="G182" s="467"/>
      <c r="H182" s="467"/>
      <c r="I182" s="466"/>
    </row>
    <row r="183" spans="1:9" ht="13.5" thickBot="1">
      <c r="A183" s="207"/>
      <c r="B183" s="465" t="s">
        <v>270</v>
      </c>
      <c r="C183" s="461"/>
      <c r="D183" s="465" t="s">
        <v>271</v>
      </c>
      <c r="E183" s="466"/>
      <c r="F183" s="460" t="s">
        <v>270</v>
      </c>
      <c r="G183" s="461"/>
      <c r="H183" s="465" t="s">
        <v>271</v>
      </c>
      <c r="I183" s="466"/>
    </row>
    <row r="184" spans="1:9" ht="25.5">
      <c r="A184" s="208" t="s">
        <v>259</v>
      </c>
      <c r="B184" s="209" t="s">
        <v>272</v>
      </c>
      <c r="C184" s="209" t="s">
        <v>273</v>
      </c>
      <c r="D184" s="209" t="s">
        <v>272</v>
      </c>
      <c r="E184" s="210" t="s">
        <v>273</v>
      </c>
      <c r="F184" s="209" t="s">
        <v>274</v>
      </c>
      <c r="G184" s="209" t="s">
        <v>275</v>
      </c>
      <c r="H184" s="209" t="s">
        <v>274</v>
      </c>
      <c r="I184" s="211" t="s">
        <v>275</v>
      </c>
    </row>
    <row r="185" spans="1:9" ht="12.75">
      <c r="A185" s="193" t="s">
        <v>261</v>
      </c>
      <c r="B185" s="171">
        <f aca="true" t="shared" si="47" ref="B185:C188">F185*C202</f>
        <v>16447.87576911808</v>
      </c>
      <c r="C185" s="171">
        <f t="shared" si="47"/>
        <v>14382.068561382946</v>
      </c>
      <c r="D185" s="171">
        <f aca="true" t="shared" si="48" ref="D185:E188">H185*C202</f>
        <v>18626.86785818928</v>
      </c>
      <c r="E185" s="212">
        <f t="shared" si="48"/>
        <v>13902.666276003518</v>
      </c>
      <c r="F185" s="213">
        <v>6.856138294755348</v>
      </c>
      <c r="G185" s="213">
        <v>7.910928801640785</v>
      </c>
      <c r="H185" s="213">
        <v>7.764430120128919</v>
      </c>
      <c r="I185" s="214">
        <v>7.647231174919427</v>
      </c>
    </row>
    <row r="186" spans="1:9" ht="12.75">
      <c r="A186" s="193" t="s">
        <v>264</v>
      </c>
      <c r="B186" s="171">
        <f t="shared" si="47"/>
        <v>18717.96073835335</v>
      </c>
      <c r="C186" s="171">
        <f t="shared" si="47"/>
        <v>19259.771462056844</v>
      </c>
      <c r="D186" s="171">
        <f t="shared" si="48"/>
        <v>18962.320539115146</v>
      </c>
      <c r="E186" s="212">
        <f t="shared" si="48"/>
        <v>21469.909170817464</v>
      </c>
      <c r="F186" s="213">
        <v>11.221799003808965</v>
      </c>
      <c r="G186" s="213">
        <v>7.14913565777908</v>
      </c>
      <c r="H186" s="213">
        <v>11.368297685320831</v>
      </c>
      <c r="I186" s="214">
        <v>7.969528274245532</v>
      </c>
    </row>
    <row r="187" spans="1:9" ht="12.75">
      <c r="A187" s="193" t="s">
        <v>265</v>
      </c>
      <c r="B187" s="171">
        <f t="shared" si="47"/>
        <v>6457.661881043071</v>
      </c>
      <c r="C187" s="171">
        <f t="shared" si="47"/>
        <v>8015.001464986816</v>
      </c>
      <c r="D187" s="171">
        <f t="shared" si="48"/>
        <v>7259.302666276005</v>
      </c>
      <c r="E187" s="212">
        <f t="shared" si="48"/>
        <v>8927.27805449751</v>
      </c>
      <c r="F187" s="213">
        <v>4.2484617638441255</v>
      </c>
      <c r="G187" s="213">
        <v>3.603867565191914</v>
      </c>
      <c r="H187" s="213">
        <v>4.775857017286845</v>
      </c>
      <c r="I187" s="214">
        <v>4.0140638734251395</v>
      </c>
    </row>
    <row r="188" spans="1:9" ht="13.5" thickBot="1">
      <c r="A188" s="129" t="s">
        <v>266</v>
      </c>
      <c r="B188" s="215">
        <f t="shared" si="47"/>
        <v>5176.003515968357</v>
      </c>
      <c r="C188" s="215">
        <f t="shared" si="47"/>
        <v>10356.460591854675</v>
      </c>
      <c r="D188" s="215">
        <f t="shared" si="48"/>
        <v>5659.742162320539</v>
      </c>
      <c r="E188" s="216">
        <f t="shared" si="48"/>
        <v>12555.435101084091</v>
      </c>
      <c r="F188" s="217">
        <v>3.135071784353941</v>
      </c>
      <c r="G188" s="217">
        <v>4.277761500146499</v>
      </c>
      <c r="H188" s="217">
        <v>3.428069147377674</v>
      </c>
      <c r="I188" s="218">
        <v>5.186053325520071</v>
      </c>
    </row>
    <row r="189" spans="1:7" ht="13.5" thickBot="1">
      <c r="A189" s="16"/>
      <c r="B189" s="219"/>
      <c r="C189" s="219"/>
      <c r="D189" s="219"/>
      <c r="E189" s="219"/>
      <c r="F189" s="219"/>
      <c r="G189" s="219"/>
    </row>
    <row r="190" spans="1:5" ht="13.5" thickBot="1">
      <c r="A190" s="460" t="s">
        <v>276</v>
      </c>
      <c r="B190" s="467"/>
      <c r="C190" s="467"/>
      <c r="D190" s="467"/>
      <c r="E190" s="466"/>
    </row>
    <row r="191" spans="1:5" ht="12.75">
      <c r="A191" s="220"/>
      <c r="B191" s="221" t="s">
        <v>277</v>
      </c>
      <c r="C191" s="221"/>
      <c r="D191" s="221" t="s">
        <v>278</v>
      </c>
      <c r="E191" s="222"/>
    </row>
    <row r="192" spans="1:5" ht="12.75">
      <c r="A192" s="220" t="s">
        <v>259</v>
      </c>
      <c r="B192" s="223" t="s">
        <v>279</v>
      </c>
      <c r="C192" s="223" t="s">
        <v>280</v>
      </c>
      <c r="D192" s="223" t="s">
        <v>279</v>
      </c>
      <c r="E192" s="224" t="s">
        <v>280</v>
      </c>
    </row>
    <row r="193" spans="1:9" ht="12.75">
      <c r="A193" s="193" t="s">
        <v>261</v>
      </c>
      <c r="B193" s="225">
        <v>15675</v>
      </c>
      <c r="C193" s="170">
        <v>6.9</v>
      </c>
      <c r="D193" s="225">
        <v>9271</v>
      </c>
      <c r="E193" s="226">
        <v>5.1</v>
      </c>
      <c r="F193" s="147"/>
      <c r="G193" s="147"/>
      <c r="H193" s="60"/>
      <c r="I193" s="49"/>
    </row>
    <row r="194" spans="1:9" ht="12.75">
      <c r="A194" s="193" t="s">
        <v>264</v>
      </c>
      <c r="B194" s="225">
        <v>17005</v>
      </c>
      <c r="C194" s="170">
        <v>11.7</v>
      </c>
      <c r="D194" s="225">
        <v>6337</v>
      </c>
      <c r="E194" s="226">
        <v>2.3</v>
      </c>
      <c r="F194" s="147"/>
      <c r="G194" s="147"/>
      <c r="H194" s="60"/>
      <c r="I194" s="49"/>
    </row>
    <row r="195" spans="1:9" ht="12.75">
      <c r="A195" s="193" t="s">
        <v>265</v>
      </c>
      <c r="B195" s="225">
        <v>8436</v>
      </c>
      <c r="C195" s="170">
        <v>5.5</v>
      </c>
      <c r="D195" s="225">
        <v>4670</v>
      </c>
      <c r="E195" s="226">
        <v>2.2</v>
      </c>
      <c r="F195" s="147"/>
      <c r="G195" s="147"/>
      <c r="H195" s="60"/>
      <c r="I195" s="49"/>
    </row>
    <row r="196" spans="1:9" ht="13.5" thickBot="1">
      <c r="A196" s="129" t="s">
        <v>266</v>
      </c>
      <c r="B196" s="227">
        <v>6006</v>
      </c>
      <c r="C196" s="130">
        <v>3.5</v>
      </c>
      <c r="D196" s="227">
        <v>6446</v>
      </c>
      <c r="E196" s="228">
        <v>2.6</v>
      </c>
      <c r="F196" s="147"/>
      <c r="G196" s="147"/>
      <c r="H196" s="60"/>
      <c r="I196" s="49"/>
    </row>
    <row r="197" ht="12.75">
      <c r="A197" t="s">
        <v>281</v>
      </c>
    </row>
    <row r="198" ht="13.5" thickBot="1"/>
    <row r="199" spans="1:4" ht="12.75">
      <c r="A199" s="229" t="s">
        <v>282</v>
      </c>
      <c r="B199" s="230"/>
      <c r="C199" s="230"/>
      <c r="D199" s="231"/>
    </row>
    <row r="200" spans="1:4" ht="12.75">
      <c r="A200" s="193"/>
      <c r="B200" s="170" t="s">
        <v>283</v>
      </c>
      <c r="C200" s="170" t="s">
        <v>277</v>
      </c>
      <c r="D200" s="226" t="s">
        <v>284</v>
      </c>
    </row>
    <row r="201" spans="1:4" ht="12.75">
      <c r="A201" s="193" t="s">
        <v>259</v>
      </c>
      <c r="B201" s="170" t="s">
        <v>285</v>
      </c>
      <c r="C201" s="170" t="s">
        <v>285</v>
      </c>
      <c r="D201" s="226" t="s">
        <v>285</v>
      </c>
    </row>
    <row r="202" spans="1:4" ht="12.75">
      <c r="A202" s="193" t="s">
        <v>261</v>
      </c>
      <c r="B202" s="225">
        <v>1925</v>
      </c>
      <c r="C202" s="225">
        <v>2399</v>
      </c>
      <c r="D202" s="204">
        <v>1818</v>
      </c>
    </row>
    <row r="203" spans="1:4" ht="12.75">
      <c r="A203" s="193" t="s">
        <v>264</v>
      </c>
      <c r="B203" s="225">
        <v>2636</v>
      </c>
      <c r="C203" s="225">
        <v>1668</v>
      </c>
      <c r="D203" s="204">
        <v>2694</v>
      </c>
    </row>
    <row r="204" spans="1:4" ht="12.75">
      <c r="A204" s="193" t="s">
        <v>265</v>
      </c>
      <c r="B204" s="225">
        <v>2394</v>
      </c>
      <c r="C204" s="225">
        <v>1520</v>
      </c>
      <c r="D204" s="204">
        <v>2224</v>
      </c>
    </row>
    <row r="205" spans="1:4" ht="13.5" thickBot="1">
      <c r="A205" s="129" t="s">
        <v>266</v>
      </c>
      <c r="B205" s="227">
        <v>2281</v>
      </c>
      <c r="C205" s="227">
        <v>1651</v>
      </c>
      <c r="D205" s="206">
        <v>2421</v>
      </c>
    </row>
    <row r="207" ht="12.75">
      <c r="A207" t="s">
        <v>286</v>
      </c>
    </row>
    <row r="208" ht="12.75">
      <c r="A208" t="s">
        <v>287</v>
      </c>
    </row>
    <row r="209" ht="12.75">
      <c r="A209" t="s">
        <v>288</v>
      </c>
    </row>
    <row r="213" ht="12.75">
      <c r="A213" t="s">
        <v>289</v>
      </c>
    </row>
    <row r="214" spans="1:2" ht="12.75">
      <c r="A214" t="s">
        <v>290</v>
      </c>
      <c r="B214">
        <v>1712</v>
      </c>
    </row>
    <row r="215" spans="3:4" ht="12.75">
      <c r="C215" t="s">
        <v>291</v>
      </c>
      <c r="D215" t="s">
        <v>292</v>
      </c>
    </row>
    <row r="216" spans="1:6" ht="12.75">
      <c r="A216" t="s">
        <v>293</v>
      </c>
      <c r="C216">
        <v>6479</v>
      </c>
      <c r="D216" s="60">
        <f>C216/B$214</f>
        <v>3.78446261682243</v>
      </c>
      <c r="F216" s="232"/>
    </row>
    <row r="217" spans="1:6" ht="12.75">
      <c r="A217" t="s">
        <v>294</v>
      </c>
      <c r="C217">
        <v>8827</v>
      </c>
      <c r="D217" s="60">
        <f>C217/B$214</f>
        <v>5.155957943925234</v>
      </c>
      <c r="F217" s="232"/>
    </row>
    <row r="218" spans="1:6" ht="12.75">
      <c r="A218" t="s">
        <v>295</v>
      </c>
      <c r="C218">
        <v>3965</v>
      </c>
      <c r="D218" s="60">
        <f>C218/B$214</f>
        <v>2.316004672897196</v>
      </c>
      <c r="F218" s="232"/>
    </row>
    <row r="219" ht="12.75">
      <c r="E219" s="103"/>
    </row>
    <row r="224" ht="12.75">
      <c r="A224" t="s">
        <v>296</v>
      </c>
    </row>
  </sheetData>
  <mergeCells count="24">
    <mergeCell ref="A54:B54"/>
    <mergeCell ref="A68:B68"/>
    <mergeCell ref="A75:B75"/>
    <mergeCell ref="A19:B19"/>
    <mergeCell ref="A26:B26"/>
    <mergeCell ref="A33:B33"/>
    <mergeCell ref="A47:B47"/>
    <mergeCell ref="A40:C40"/>
    <mergeCell ref="D75:E75"/>
    <mergeCell ref="A61:B61"/>
    <mergeCell ref="D68:E68"/>
    <mergeCell ref="A190:E190"/>
    <mergeCell ref="A82:B82"/>
    <mergeCell ref="D82:E82"/>
    <mergeCell ref="F183:G183"/>
    <mergeCell ref="K89:M89"/>
    <mergeCell ref="N89:P89"/>
    <mergeCell ref="H183:I183"/>
    <mergeCell ref="A182:I182"/>
    <mergeCell ref="B89:D89"/>
    <mergeCell ref="E89:G89"/>
    <mergeCell ref="H89:J89"/>
    <mergeCell ref="B183:C183"/>
    <mergeCell ref="D183:E183"/>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codeName="Sheet5"/>
  <dimension ref="A1:AW93"/>
  <sheetViews>
    <sheetView zoomScale="75" zoomScaleNormal="75" workbookViewId="0" topLeftCell="A43">
      <selection activeCell="G61" sqref="G61"/>
    </sheetView>
  </sheetViews>
  <sheetFormatPr defaultColWidth="9.140625" defaultRowHeight="12.75"/>
  <cols>
    <col min="1" max="1" width="24.28125" style="0" customWidth="1"/>
    <col min="2" max="2" width="22.7109375" style="0" customWidth="1"/>
    <col min="3" max="3" width="10.7109375" style="0" customWidth="1"/>
    <col min="4" max="4" width="12.8515625" style="0" customWidth="1"/>
    <col min="5" max="5" width="9.7109375" style="0" customWidth="1"/>
    <col min="6" max="6" width="13.00390625" style="0" customWidth="1"/>
    <col min="7" max="7" width="14.00390625" style="0" customWidth="1"/>
    <col min="8" max="8" width="9.57421875" style="0" customWidth="1"/>
    <col min="9" max="9" width="13.421875" style="0" customWidth="1"/>
    <col min="10" max="10" width="14.8515625" style="0" customWidth="1"/>
    <col min="11" max="11" width="24.00390625" style="0" customWidth="1"/>
    <col min="12" max="12" width="16.421875" style="0" customWidth="1"/>
    <col min="13" max="13" width="12.8515625" style="0" customWidth="1"/>
    <col min="15" max="15" width="10.28125" style="0" bestFit="1" customWidth="1"/>
    <col min="16" max="16" width="81.140625" style="0" customWidth="1"/>
    <col min="17" max="17" width="12.00390625" style="0" customWidth="1"/>
    <col min="18" max="18" width="14.28125" style="0" customWidth="1"/>
    <col min="19" max="19" width="13.7109375" style="0" customWidth="1"/>
    <col min="20" max="20" width="9.28125" style="0" bestFit="1" customWidth="1"/>
    <col min="21" max="21" width="11.421875" style="0" customWidth="1"/>
    <col min="22" max="23" width="9.28125" style="0" bestFit="1" customWidth="1"/>
    <col min="24" max="25" width="10.28125" style="0" bestFit="1" customWidth="1"/>
    <col min="26" max="27" width="9.28125" style="0" bestFit="1" customWidth="1"/>
  </cols>
  <sheetData>
    <row r="1" spans="1:8" ht="12.75">
      <c r="A1" s="5" t="s">
        <v>297</v>
      </c>
      <c r="B1" s="5"/>
      <c r="C1" s="5"/>
      <c r="D1" s="5"/>
      <c r="E1" s="5"/>
      <c r="F1" s="5"/>
      <c r="G1" s="5"/>
      <c r="H1" s="5"/>
    </row>
    <row r="2" spans="1:8" ht="12.75">
      <c r="A2" s="5"/>
      <c r="B2" s="5"/>
      <c r="C2" s="5"/>
      <c r="D2" s="5"/>
      <c r="E2" s="5"/>
      <c r="F2" s="5"/>
      <c r="G2" s="5"/>
      <c r="H2" s="5"/>
    </row>
    <row r="3" spans="1:8" ht="12.75">
      <c r="A3" s="5"/>
      <c r="B3" s="5"/>
      <c r="C3" s="5"/>
      <c r="D3" s="5"/>
      <c r="E3" s="5"/>
      <c r="F3" s="5"/>
      <c r="G3" s="5"/>
      <c r="H3" s="5"/>
    </row>
    <row r="4" spans="1:8" ht="13.5" thickBot="1">
      <c r="A4" s="105" t="s">
        <v>298</v>
      </c>
      <c r="B4" s="5"/>
      <c r="C4" s="5"/>
      <c r="D4" s="5"/>
      <c r="E4" s="5"/>
      <c r="F4" s="5"/>
      <c r="G4" s="5"/>
      <c r="H4" s="5"/>
    </row>
    <row r="5" spans="1:8" ht="13.5" thickBot="1">
      <c r="A5" s="473" t="s">
        <v>299</v>
      </c>
      <c r="B5" s="474"/>
      <c r="C5" s="474"/>
      <c r="D5" s="474"/>
      <c r="E5" s="474"/>
      <c r="F5" s="474"/>
      <c r="G5" s="474"/>
      <c r="H5" s="475"/>
    </row>
    <row r="6" spans="1:8" ht="13.5" thickBot="1">
      <c r="A6" s="376"/>
      <c r="B6" s="377"/>
      <c r="C6" s="377"/>
      <c r="D6" s="377"/>
      <c r="E6" s="471" t="s">
        <v>300</v>
      </c>
      <c r="F6" s="471"/>
      <c r="G6" s="471" t="s">
        <v>301</v>
      </c>
      <c r="H6" s="479"/>
    </row>
    <row r="7" spans="1:8" ht="25.5">
      <c r="A7" s="378" t="s">
        <v>302</v>
      </c>
      <c r="B7" s="378" t="s">
        <v>303</v>
      </c>
      <c r="C7" s="378" t="s">
        <v>304</v>
      </c>
      <c r="D7" s="378" t="s">
        <v>305</v>
      </c>
      <c r="E7" s="378" t="s">
        <v>306</v>
      </c>
      <c r="F7" s="378" t="s">
        <v>307</v>
      </c>
      <c r="G7" s="379" t="s">
        <v>306</v>
      </c>
      <c r="H7" s="379" t="s">
        <v>307</v>
      </c>
    </row>
    <row r="8" spans="1:8" ht="12.75">
      <c r="A8" s="292" t="s">
        <v>308</v>
      </c>
      <c r="B8" s="380">
        <v>2.5</v>
      </c>
      <c r="C8" s="292">
        <v>7.5</v>
      </c>
      <c r="D8" s="292">
        <v>10</v>
      </c>
      <c r="E8" s="381">
        <v>3400</v>
      </c>
      <c r="F8" s="381">
        <v>3700</v>
      </c>
      <c r="G8" s="292"/>
      <c r="H8" s="292"/>
    </row>
    <row r="9" spans="1:8" ht="12.75">
      <c r="A9" s="292" t="s">
        <v>309</v>
      </c>
      <c r="B9" s="380">
        <v>3</v>
      </c>
      <c r="C9" s="292">
        <v>7.5</v>
      </c>
      <c r="D9" s="292">
        <v>10</v>
      </c>
      <c r="E9" s="381">
        <v>3600</v>
      </c>
      <c r="F9" s="381">
        <v>3900</v>
      </c>
      <c r="G9" s="292"/>
      <c r="H9" s="292"/>
    </row>
    <row r="10" spans="1:8" ht="12.75">
      <c r="A10" s="292" t="s">
        <v>310</v>
      </c>
      <c r="B10" s="380">
        <v>3.5</v>
      </c>
      <c r="C10" s="292">
        <v>7.5</v>
      </c>
      <c r="D10" s="292">
        <v>10</v>
      </c>
      <c r="E10" s="381">
        <v>3750</v>
      </c>
      <c r="F10" s="381">
        <v>4150</v>
      </c>
      <c r="G10" s="292"/>
      <c r="H10" s="292"/>
    </row>
    <row r="11" spans="1:8" ht="12.75">
      <c r="A11" s="292" t="s">
        <v>311</v>
      </c>
      <c r="B11" s="380">
        <v>4</v>
      </c>
      <c r="C11" s="292">
        <v>7.5</v>
      </c>
      <c r="D11" s="292">
        <v>10</v>
      </c>
      <c r="E11" s="381">
        <v>4000</v>
      </c>
      <c r="F11" s="381">
        <v>4450</v>
      </c>
      <c r="G11" s="292"/>
      <c r="H11" s="292"/>
    </row>
    <row r="12" spans="1:14" ht="12.75">
      <c r="A12" s="292"/>
      <c r="B12" s="380"/>
      <c r="C12" s="292"/>
      <c r="D12" s="292"/>
      <c r="E12" s="381"/>
      <c r="F12" s="381"/>
      <c r="G12" s="292"/>
      <c r="H12" s="292"/>
      <c r="K12" s="234"/>
      <c r="L12" s="235"/>
      <c r="M12" s="5"/>
      <c r="N12" s="234"/>
    </row>
    <row r="13" spans="1:8" ht="12.75">
      <c r="A13" s="292" t="s">
        <v>312</v>
      </c>
      <c r="B13" s="380">
        <v>2.5</v>
      </c>
      <c r="C13" s="292">
        <v>8</v>
      </c>
      <c r="D13" s="292">
        <v>12</v>
      </c>
      <c r="E13" s="381">
        <v>3600</v>
      </c>
      <c r="F13" s="381">
        <v>3800</v>
      </c>
      <c r="G13" s="382">
        <f aca="true" t="shared" si="0" ref="G13:H16">E13-E8</f>
        <v>200</v>
      </c>
      <c r="H13" s="382">
        <f t="shared" si="0"/>
        <v>100</v>
      </c>
    </row>
    <row r="14" spans="1:8" ht="12.75">
      <c r="A14" s="292" t="s">
        <v>313</v>
      </c>
      <c r="B14" s="380">
        <v>3</v>
      </c>
      <c r="C14" s="292">
        <v>8</v>
      </c>
      <c r="D14" s="292">
        <v>12</v>
      </c>
      <c r="E14" s="381">
        <v>3800</v>
      </c>
      <c r="F14" s="381">
        <v>4100</v>
      </c>
      <c r="G14" s="382">
        <f t="shared" si="0"/>
        <v>200</v>
      </c>
      <c r="H14" s="382">
        <f t="shared" si="0"/>
        <v>200</v>
      </c>
    </row>
    <row r="15" spans="1:8" ht="12.75">
      <c r="A15" s="292" t="s">
        <v>314</v>
      </c>
      <c r="B15" s="380">
        <v>3.5</v>
      </c>
      <c r="C15" s="292">
        <v>8</v>
      </c>
      <c r="D15" s="292">
        <v>12</v>
      </c>
      <c r="E15" s="381">
        <v>4100</v>
      </c>
      <c r="F15" s="381">
        <v>4400</v>
      </c>
      <c r="G15" s="382">
        <f t="shared" si="0"/>
        <v>350</v>
      </c>
      <c r="H15" s="382">
        <f t="shared" si="0"/>
        <v>250</v>
      </c>
    </row>
    <row r="16" spans="1:8" ht="12.75">
      <c r="A16" s="292" t="s">
        <v>315</v>
      </c>
      <c r="B16" s="380">
        <v>4</v>
      </c>
      <c r="C16" s="292">
        <v>8</v>
      </c>
      <c r="D16" s="292">
        <v>12</v>
      </c>
      <c r="E16" s="381">
        <v>4400</v>
      </c>
      <c r="F16" s="381">
        <v>4800</v>
      </c>
      <c r="G16" s="382">
        <f t="shared" si="0"/>
        <v>400</v>
      </c>
      <c r="H16" s="382">
        <f t="shared" si="0"/>
        <v>350</v>
      </c>
    </row>
    <row r="17" spans="1:8" ht="12.75">
      <c r="A17" s="105" t="s">
        <v>316</v>
      </c>
      <c r="B17" s="5"/>
      <c r="C17" s="5"/>
      <c r="D17" s="5"/>
      <c r="E17" s="5"/>
      <c r="F17" s="5"/>
      <c r="G17" s="5"/>
      <c r="H17" s="5"/>
    </row>
    <row r="18" spans="1:8" ht="12.75">
      <c r="A18" s="5"/>
      <c r="B18" s="5"/>
      <c r="C18" s="5"/>
      <c r="D18" s="5"/>
      <c r="E18" s="5"/>
      <c r="F18" s="5"/>
      <c r="G18" s="5"/>
      <c r="H18" s="5"/>
    </row>
    <row r="19" spans="1:8" ht="13.5" thickBot="1">
      <c r="A19" s="5"/>
      <c r="B19" s="5"/>
      <c r="C19" s="5"/>
      <c r="D19" s="5"/>
      <c r="E19" s="5"/>
      <c r="F19" s="5"/>
      <c r="G19" s="5"/>
      <c r="H19" s="5"/>
    </row>
    <row r="20" spans="1:8" ht="13.5" thickBot="1">
      <c r="A20" s="476" t="s">
        <v>317</v>
      </c>
      <c r="B20" s="477"/>
      <c r="C20" s="477"/>
      <c r="D20" s="477"/>
      <c r="E20" s="477"/>
      <c r="F20" s="477"/>
      <c r="G20" s="477"/>
      <c r="H20" s="478"/>
    </row>
    <row r="21" spans="1:8" ht="13.5" thickBot="1">
      <c r="A21" s="376"/>
      <c r="B21" s="377"/>
      <c r="C21" s="377"/>
      <c r="D21" s="377"/>
      <c r="E21" s="471" t="s">
        <v>300</v>
      </c>
      <c r="F21" s="471"/>
      <c r="G21" s="471" t="s">
        <v>301</v>
      </c>
      <c r="H21" s="479"/>
    </row>
    <row r="22" spans="1:8" ht="25.5">
      <c r="A22" s="378" t="s">
        <v>302</v>
      </c>
      <c r="B22" s="378" t="s">
        <v>303</v>
      </c>
      <c r="C22" s="378"/>
      <c r="D22" s="378" t="s">
        <v>305</v>
      </c>
      <c r="E22" s="378" t="s">
        <v>306</v>
      </c>
      <c r="F22" s="378" t="s">
        <v>307</v>
      </c>
      <c r="G22" s="379" t="s">
        <v>306</v>
      </c>
      <c r="H22" s="379" t="s">
        <v>307</v>
      </c>
    </row>
    <row r="23" spans="1:8" ht="12.75">
      <c r="A23" s="292" t="s">
        <v>318</v>
      </c>
      <c r="B23" s="380">
        <v>2.5</v>
      </c>
      <c r="C23" s="292"/>
      <c r="D23" s="292">
        <v>10</v>
      </c>
      <c r="E23" s="381">
        <v>3200</v>
      </c>
      <c r="F23" s="381">
        <v>3500</v>
      </c>
      <c r="G23" s="292"/>
      <c r="H23" s="292"/>
    </row>
    <row r="24" spans="1:13" ht="12.75">
      <c r="A24" s="292" t="s">
        <v>319</v>
      </c>
      <c r="B24" s="380">
        <v>3</v>
      </c>
      <c r="C24" s="292"/>
      <c r="D24" s="292">
        <v>10</v>
      </c>
      <c r="E24" s="381">
        <v>3400</v>
      </c>
      <c r="F24" s="381">
        <v>3700</v>
      </c>
      <c r="G24" s="292"/>
      <c r="H24" s="292"/>
      <c r="K24" s="5"/>
      <c r="L24" s="5"/>
      <c r="M24" s="5"/>
    </row>
    <row r="25" spans="1:8" ht="12.75">
      <c r="A25" s="292" t="s">
        <v>320</v>
      </c>
      <c r="B25" s="380">
        <v>3.5</v>
      </c>
      <c r="C25" s="292"/>
      <c r="D25" s="292">
        <v>10</v>
      </c>
      <c r="E25" s="381">
        <v>3600</v>
      </c>
      <c r="F25" s="381">
        <v>3900</v>
      </c>
      <c r="G25" s="292"/>
      <c r="H25" s="292"/>
    </row>
    <row r="26" spans="1:8" ht="12.75">
      <c r="A26" s="292" t="s">
        <v>321</v>
      </c>
      <c r="B26" s="380">
        <v>4</v>
      </c>
      <c r="C26" s="292"/>
      <c r="D26" s="292">
        <v>10</v>
      </c>
      <c r="E26" s="381">
        <v>3800</v>
      </c>
      <c r="F26" s="381">
        <v>4100</v>
      </c>
      <c r="G26" s="292"/>
      <c r="H26" s="292"/>
    </row>
    <row r="27" spans="1:8" ht="12.75">
      <c r="A27" s="292"/>
      <c r="B27" s="380"/>
      <c r="C27" s="292"/>
      <c r="D27" s="292"/>
      <c r="E27" s="381"/>
      <c r="F27" s="381"/>
      <c r="G27" s="292"/>
      <c r="H27" s="292"/>
    </row>
    <row r="28" spans="1:8" ht="12.75">
      <c r="A28" s="292" t="s">
        <v>322</v>
      </c>
      <c r="B28" s="380">
        <v>2.5</v>
      </c>
      <c r="C28" s="292"/>
      <c r="D28" s="292">
        <v>11</v>
      </c>
      <c r="E28" s="381">
        <v>3400</v>
      </c>
      <c r="F28" s="381">
        <v>3700</v>
      </c>
      <c r="G28" s="382">
        <f aca="true" t="shared" si="1" ref="G28:H31">E28-E23</f>
        <v>200</v>
      </c>
      <c r="H28" s="382">
        <f t="shared" si="1"/>
        <v>200</v>
      </c>
    </row>
    <row r="29" spans="1:8" ht="12.75">
      <c r="A29" s="292" t="s">
        <v>323</v>
      </c>
      <c r="B29" s="380">
        <v>3</v>
      </c>
      <c r="C29" s="292"/>
      <c r="D29" s="292">
        <v>11</v>
      </c>
      <c r="E29" s="381">
        <v>3600</v>
      </c>
      <c r="F29" s="381">
        <v>3900</v>
      </c>
      <c r="G29" s="382">
        <f t="shared" si="1"/>
        <v>200</v>
      </c>
      <c r="H29" s="382">
        <f t="shared" si="1"/>
        <v>200</v>
      </c>
    </row>
    <row r="30" spans="1:8" ht="12.75">
      <c r="A30" s="292" t="s">
        <v>324</v>
      </c>
      <c r="B30" s="380">
        <v>3.5</v>
      </c>
      <c r="C30" s="292"/>
      <c r="D30" s="292">
        <v>11</v>
      </c>
      <c r="E30" s="381">
        <v>3800</v>
      </c>
      <c r="F30" s="381">
        <v>4100</v>
      </c>
      <c r="G30" s="382">
        <f t="shared" si="1"/>
        <v>200</v>
      </c>
      <c r="H30" s="382">
        <f t="shared" si="1"/>
        <v>200</v>
      </c>
    </row>
    <row r="31" spans="1:8" ht="12.75">
      <c r="A31" s="292" t="s">
        <v>325</v>
      </c>
      <c r="B31" s="380">
        <v>4</v>
      </c>
      <c r="C31" s="292"/>
      <c r="D31" s="292">
        <v>11</v>
      </c>
      <c r="E31" s="381">
        <v>4000</v>
      </c>
      <c r="F31" s="381">
        <v>4300</v>
      </c>
      <c r="G31" s="382">
        <f t="shared" si="1"/>
        <v>200</v>
      </c>
      <c r="H31" s="382">
        <f t="shared" si="1"/>
        <v>200</v>
      </c>
    </row>
    <row r="32" spans="1:8" ht="12.75">
      <c r="A32" s="292"/>
      <c r="B32" s="380"/>
      <c r="C32" s="292"/>
      <c r="D32" s="292"/>
      <c r="E32" s="381"/>
      <c r="F32" s="381"/>
      <c r="G32" s="292"/>
      <c r="H32" s="292"/>
    </row>
    <row r="33" spans="1:8" ht="12.75">
      <c r="A33" s="292" t="s">
        <v>326</v>
      </c>
      <c r="B33" s="380">
        <v>2.5</v>
      </c>
      <c r="C33" s="292"/>
      <c r="D33" s="292">
        <v>13</v>
      </c>
      <c r="E33" s="381">
        <v>4000</v>
      </c>
      <c r="F33" s="381">
        <v>4300</v>
      </c>
      <c r="G33" s="382">
        <f aca="true" t="shared" si="2" ref="G33:H36">E33-E28</f>
        <v>600</v>
      </c>
      <c r="H33" s="382">
        <f t="shared" si="2"/>
        <v>600</v>
      </c>
    </row>
    <row r="34" spans="1:8" ht="12.75">
      <c r="A34" s="292" t="s">
        <v>327</v>
      </c>
      <c r="B34" s="380">
        <v>3</v>
      </c>
      <c r="C34" s="292"/>
      <c r="D34" s="292">
        <v>13</v>
      </c>
      <c r="E34" s="381">
        <v>4200</v>
      </c>
      <c r="F34" s="381">
        <v>4500</v>
      </c>
      <c r="G34" s="382">
        <f t="shared" si="2"/>
        <v>600</v>
      </c>
      <c r="H34" s="382">
        <f t="shared" si="2"/>
        <v>600</v>
      </c>
    </row>
    <row r="35" spans="1:18" ht="12.75">
      <c r="A35" s="292" t="s">
        <v>328</v>
      </c>
      <c r="B35" s="380">
        <v>3.5</v>
      </c>
      <c r="C35" s="292"/>
      <c r="D35" s="292">
        <v>13</v>
      </c>
      <c r="E35" s="381">
        <v>4400</v>
      </c>
      <c r="F35" s="381">
        <v>4700</v>
      </c>
      <c r="G35" s="382">
        <f t="shared" si="2"/>
        <v>600</v>
      </c>
      <c r="H35" s="382">
        <f t="shared" si="2"/>
        <v>600</v>
      </c>
      <c r="Q35" t="s">
        <v>467</v>
      </c>
      <c r="R35" s="232">
        <v>1.0361059885470252</v>
      </c>
    </row>
    <row r="36" spans="1:19" ht="51">
      <c r="A36" s="292" t="s">
        <v>329</v>
      </c>
      <c r="B36" s="380">
        <v>4</v>
      </c>
      <c r="C36" s="292"/>
      <c r="D36" s="292">
        <v>13</v>
      </c>
      <c r="E36" s="381">
        <v>4600</v>
      </c>
      <c r="F36" s="381">
        <v>4900</v>
      </c>
      <c r="G36" s="382">
        <f t="shared" si="2"/>
        <v>600</v>
      </c>
      <c r="H36" s="382">
        <f t="shared" si="2"/>
        <v>600</v>
      </c>
      <c r="P36" s="170" t="s">
        <v>468</v>
      </c>
      <c r="Q36" s="383" t="s">
        <v>334</v>
      </c>
      <c r="R36" s="383" t="s">
        <v>469</v>
      </c>
      <c r="S36" s="383" t="s">
        <v>470</v>
      </c>
    </row>
    <row r="37" spans="1:19" ht="12.75">
      <c r="A37" s="105" t="s">
        <v>316</v>
      </c>
      <c r="B37" s="5"/>
      <c r="C37" s="5"/>
      <c r="D37" s="5"/>
      <c r="E37" s="5"/>
      <c r="F37" s="5"/>
      <c r="G37" s="5"/>
      <c r="H37" s="5"/>
      <c r="P37" s="384" t="s">
        <v>471</v>
      </c>
      <c r="Q37" s="233">
        <f>$F$41</f>
        <v>3345.21</v>
      </c>
      <c r="R37" s="233">
        <f>$J$61*$R$35</f>
        <v>80.98178841980899</v>
      </c>
      <c r="S37" s="233">
        <f>$R$35*$L$61</f>
        <v>391.7007074493652</v>
      </c>
    </row>
    <row r="38" spans="1:19" ht="37.5" customHeight="1">
      <c r="A38" s="472" t="s">
        <v>330</v>
      </c>
      <c r="B38" s="472"/>
      <c r="C38" s="472"/>
      <c r="D38" s="472"/>
      <c r="E38" s="472"/>
      <c r="F38" s="472"/>
      <c r="G38" s="5"/>
      <c r="H38" s="5"/>
      <c r="P38" s="384" t="s">
        <v>472</v>
      </c>
      <c r="Q38" s="233">
        <v>0</v>
      </c>
      <c r="R38" s="170"/>
      <c r="S38" s="170"/>
    </row>
    <row r="39" spans="1:19" ht="12.75">
      <c r="A39" s="5"/>
      <c r="B39" s="5"/>
      <c r="C39" s="5"/>
      <c r="D39" s="5"/>
      <c r="E39" s="5"/>
      <c r="F39" s="5"/>
      <c r="G39" s="5"/>
      <c r="H39" s="5"/>
      <c r="P39" s="384" t="s">
        <v>473</v>
      </c>
      <c r="Q39" s="233">
        <f>$E$51</f>
        <v>3235</v>
      </c>
      <c r="R39" s="233">
        <f>$J$61*$R$35</f>
        <v>80.98178841980899</v>
      </c>
      <c r="S39" s="233">
        <f>$R$35*$L$61</f>
        <v>391.7007074493652</v>
      </c>
    </row>
    <row r="40" spans="1:19" ht="12.75">
      <c r="A40" s="237" t="s">
        <v>331</v>
      </c>
      <c r="B40" s="238"/>
      <c r="C40" s="5"/>
      <c r="D40" s="5"/>
      <c r="E40" s="5"/>
      <c r="F40" s="5"/>
      <c r="G40" s="5"/>
      <c r="H40" s="5"/>
      <c r="P40" s="384" t="s">
        <v>474</v>
      </c>
      <c r="Q40" s="233">
        <v>0</v>
      </c>
      <c r="R40" s="170"/>
      <c r="S40" s="170"/>
    </row>
    <row r="41" spans="1:19" ht="12.75">
      <c r="A41" s="239" t="s">
        <v>332</v>
      </c>
      <c r="B41" s="240"/>
      <c r="C41" s="5"/>
      <c r="D41" s="5" t="s">
        <v>475</v>
      </c>
      <c r="E41" s="5"/>
      <c r="F41" s="385">
        <v>3345.21</v>
      </c>
      <c r="G41" s="5"/>
      <c r="H41" s="5"/>
      <c r="L41" s="5"/>
      <c r="P41" s="384" t="s">
        <v>476</v>
      </c>
      <c r="Q41" s="233">
        <f>$E$50</f>
        <v>2850</v>
      </c>
      <c r="R41" s="233">
        <f>$J$61*$R$35</f>
        <v>80.98178841980899</v>
      </c>
      <c r="S41" s="233">
        <f>$R$35*$L$61</f>
        <v>391.7007074493652</v>
      </c>
    </row>
    <row r="42" spans="1:19" ht="12.75">
      <c r="A42" s="241" t="s">
        <v>333</v>
      </c>
      <c r="B42" s="242" t="s">
        <v>334</v>
      </c>
      <c r="C42" s="243"/>
      <c r="D42" s="5" t="s">
        <v>477</v>
      </c>
      <c r="E42" s="5"/>
      <c r="F42" s="5"/>
      <c r="G42" s="5"/>
      <c r="H42" s="5"/>
      <c r="L42" s="243"/>
      <c r="P42" s="384" t="s">
        <v>478</v>
      </c>
      <c r="Q42" s="233">
        <v>0</v>
      </c>
      <c r="R42" s="386"/>
      <c r="S42" s="170"/>
    </row>
    <row r="43" spans="1:19" ht="12.75">
      <c r="A43" s="244" t="s">
        <v>335</v>
      </c>
      <c r="B43" s="245">
        <v>1755</v>
      </c>
      <c r="C43" s="5"/>
      <c r="D43" s="5"/>
      <c r="E43" s="5"/>
      <c r="F43" s="5"/>
      <c r="G43" s="5"/>
      <c r="H43" s="5"/>
      <c r="L43" s="5"/>
      <c r="P43" s="384" t="s">
        <v>479</v>
      </c>
      <c r="Q43" s="233">
        <f>$F$41</f>
        <v>3345.21</v>
      </c>
      <c r="R43" s="236">
        <f>$K$61*$R$35</f>
        <v>0.8232209896770697</v>
      </c>
      <c r="S43" s="233">
        <f>$R$35*$M$61</f>
        <v>31.225151497824463</v>
      </c>
    </row>
    <row r="44" spans="1:19" ht="12.75">
      <c r="A44" s="244" t="s">
        <v>336</v>
      </c>
      <c r="B44" s="246">
        <v>1920</v>
      </c>
      <c r="C44" s="5"/>
      <c r="D44" s="5"/>
      <c r="E44" s="5"/>
      <c r="F44" s="5"/>
      <c r="G44" s="5"/>
      <c r="H44" s="5"/>
      <c r="L44" s="5"/>
      <c r="P44" s="384" t="s">
        <v>480</v>
      </c>
      <c r="Q44" s="233">
        <v>0</v>
      </c>
      <c r="R44" s="292"/>
      <c r="S44" s="170"/>
    </row>
    <row r="45" spans="1:19" ht="12.75">
      <c r="A45" s="244" t="s">
        <v>337</v>
      </c>
      <c r="B45" s="246">
        <v>2035</v>
      </c>
      <c r="C45" s="5"/>
      <c r="D45" s="5"/>
      <c r="E45" s="5"/>
      <c r="F45" s="5"/>
      <c r="G45" s="5"/>
      <c r="H45" s="5"/>
      <c r="P45" s="384" t="s">
        <v>481</v>
      </c>
      <c r="Q45" s="233">
        <f>$E$51</f>
        <v>3235</v>
      </c>
      <c r="R45" s="236">
        <f>$K$61*$R$35</f>
        <v>0.8232209896770697</v>
      </c>
      <c r="S45" s="233">
        <f>$R$35*$M$61</f>
        <v>31.225151497824463</v>
      </c>
    </row>
    <row r="46" spans="1:19" ht="12.75">
      <c r="A46" s="5"/>
      <c r="B46" s="5"/>
      <c r="C46" s="5"/>
      <c r="D46" s="5"/>
      <c r="E46" s="5"/>
      <c r="F46" s="5"/>
      <c r="G46" s="5"/>
      <c r="H46" s="5"/>
      <c r="P46" s="384" t="s">
        <v>482</v>
      </c>
      <c r="Q46" s="233">
        <v>0</v>
      </c>
      <c r="R46" s="170"/>
      <c r="S46" s="170"/>
    </row>
    <row r="47" spans="1:19" ht="12.75">
      <c r="A47" s="247" t="s">
        <v>338</v>
      </c>
      <c r="B47" s="240"/>
      <c r="C47" s="248"/>
      <c r="D47" s="247" t="s">
        <v>339</v>
      </c>
      <c r="E47" s="240"/>
      <c r="F47" s="248"/>
      <c r="G47" s="248"/>
      <c r="H47" s="5"/>
      <c r="P47" s="384" t="s">
        <v>483</v>
      </c>
      <c r="Q47" s="233">
        <f>$E$50</f>
        <v>2850</v>
      </c>
      <c r="R47" s="236">
        <f>$K$61*$R$35</f>
        <v>0.8232209896770697</v>
      </c>
      <c r="S47" s="233">
        <f>$R$35*$M$61</f>
        <v>31.225151497824463</v>
      </c>
    </row>
    <row r="48" spans="1:19" ht="25.5">
      <c r="A48" s="249" t="s">
        <v>333</v>
      </c>
      <c r="B48" s="250" t="s">
        <v>334</v>
      </c>
      <c r="C48" s="251"/>
      <c r="D48" s="249" t="s">
        <v>333</v>
      </c>
      <c r="E48" s="250" t="s">
        <v>334</v>
      </c>
      <c r="F48" s="251" t="s">
        <v>301</v>
      </c>
      <c r="G48" s="254"/>
      <c r="H48" s="5"/>
      <c r="K48" s="387" t="s">
        <v>484</v>
      </c>
      <c r="L48" s="387"/>
      <c r="P48" s="384" t="s">
        <v>485</v>
      </c>
      <c r="Q48" s="233">
        <v>0</v>
      </c>
      <c r="R48" s="170"/>
      <c r="S48" s="170"/>
    </row>
    <row r="49" spans="1:19" ht="12.75">
      <c r="A49" s="252" t="s">
        <v>335</v>
      </c>
      <c r="B49" s="253">
        <v>2275</v>
      </c>
      <c r="C49" s="254"/>
      <c r="D49" s="252" t="s">
        <v>335</v>
      </c>
      <c r="E49" s="253">
        <v>2700</v>
      </c>
      <c r="F49" s="255">
        <f>E49-B49</f>
        <v>425</v>
      </c>
      <c r="G49" s="254"/>
      <c r="H49" s="5"/>
      <c r="K49" s="170" t="s">
        <v>447</v>
      </c>
      <c r="L49" s="343">
        <f>IF('CAC &amp; HP Use &amp; Savings'!R$142=1,285,0)</f>
        <v>285</v>
      </c>
      <c r="P49" s="384" t="s">
        <v>486</v>
      </c>
      <c r="Q49" s="233">
        <f>$F$41+'[3]Zonal to Ducted System Cost'!$E$4</f>
        <v>5425.21</v>
      </c>
      <c r="R49" s="233">
        <f>$J$61*$R$35</f>
        <v>80.98178841980899</v>
      </c>
      <c r="S49" s="233">
        <f>$R$35*$L$61</f>
        <v>391.7007074493652</v>
      </c>
    </row>
    <row r="50" spans="1:19" ht="12.75">
      <c r="A50" s="252" t="s">
        <v>336</v>
      </c>
      <c r="B50" s="256">
        <v>2400</v>
      </c>
      <c r="C50" s="254"/>
      <c r="D50" s="252" t="s">
        <v>336</v>
      </c>
      <c r="E50" s="256">
        <v>2850</v>
      </c>
      <c r="F50" s="255">
        <f>E50-B50</f>
        <v>450</v>
      </c>
      <c r="G50" s="254"/>
      <c r="H50" s="5"/>
      <c r="K50" s="170" t="s">
        <v>487</v>
      </c>
      <c r="L50" s="343">
        <f>IF('CAC &amp; HP Use &amp; Savings'!T$142=1,225,0)</f>
        <v>225</v>
      </c>
      <c r="P50" s="384" t="s">
        <v>488</v>
      </c>
      <c r="Q50" s="233">
        <v>0</v>
      </c>
      <c r="R50" s="170"/>
      <c r="S50" s="170"/>
    </row>
    <row r="51" spans="1:19" ht="12.75">
      <c r="A51" s="252" t="s">
        <v>337</v>
      </c>
      <c r="B51" s="256">
        <v>2600</v>
      </c>
      <c r="C51" s="254"/>
      <c r="D51" s="252" t="s">
        <v>337</v>
      </c>
      <c r="E51" s="256">
        <v>3235</v>
      </c>
      <c r="F51" s="255">
        <f>E51-B51</f>
        <v>635</v>
      </c>
      <c r="G51" s="254"/>
      <c r="H51" s="5"/>
      <c r="K51" s="170" t="s">
        <v>57</v>
      </c>
      <c r="L51" s="343">
        <f>SUM(L49:L50)</f>
        <v>510</v>
      </c>
      <c r="P51" s="384" t="s">
        <v>489</v>
      </c>
      <c r="Q51" s="233">
        <f>$E$51+'[3]Zonal to Ducted System Cost'!E4</f>
        <v>5315</v>
      </c>
      <c r="R51" s="233">
        <f>$J$61*$R$35</f>
        <v>80.98178841980899</v>
      </c>
      <c r="S51" s="233">
        <f>$R$35*$L$61</f>
        <v>391.7007074493652</v>
      </c>
    </row>
    <row r="52" spans="1:19" ht="12.75">
      <c r="A52" s="5" t="s">
        <v>340</v>
      </c>
      <c r="B52" s="5"/>
      <c r="C52" s="5"/>
      <c r="D52" s="5"/>
      <c r="E52" s="5"/>
      <c r="F52" s="5"/>
      <c r="G52" s="5"/>
      <c r="H52" s="5"/>
      <c r="P52" s="384" t="s">
        <v>490</v>
      </c>
      <c r="Q52" s="233">
        <v>0</v>
      </c>
      <c r="R52" s="170"/>
      <c r="S52" s="170"/>
    </row>
    <row r="53" spans="1:19" ht="12.75">
      <c r="A53" s="388" t="s">
        <v>491</v>
      </c>
      <c r="B53" s="60">
        <v>1.03802980452874</v>
      </c>
      <c r="M53" s="389"/>
      <c r="N53" s="390"/>
      <c r="P53" s="384" t="s">
        <v>492</v>
      </c>
      <c r="Q53" s="233">
        <f>$E$50+'[3]Zonal to Ducted System Cost'!$E$4</f>
        <v>4930</v>
      </c>
      <c r="R53" s="233">
        <f>$J$61*$R$35</f>
        <v>80.98178841980899</v>
      </c>
      <c r="S53" s="233">
        <f>$R$35*$L$61</f>
        <v>391.7007074493652</v>
      </c>
    </row>
    <row r="54" spans="13:28" ht="15">
      <c r="M54" s="389"/>
      <c r="N54" s="391"/>
      <c r="P54" s="384" t="s">
        <v>493</v>
      </c>
      <c r="Q54" s="392">
        <v>0</v>
      </c>
      <c r="R54" s="393"/>
      <c r="S54" s="393"/>
      <c r="W54" s="257"/>
      <c r="X54" s="257"/>
      <c r="Y54" s="257"/>
      <c r="Z54" s="257"/>
      <c r="AA54" s="257"/>
      <c r="AB54" s="257"/>
    </row>
    <row r="55" spans="1:28" s="258" customFormat="1" ht="15.75">
      <c r="A55" s="394" t="s">
        <v>494</v>
      </c>
      <c r="B55" s="395"/>
      <c r="C55" s="395"/>
      <c r="D55" s="395"/>
      <c r="E55" s="395"/>
      <c r="F55" s="395"/>
      <c r="G55" s="395"/>
      <c r="H55" s="395"/>
      <c r="I55" s="395"/>
      <c r="J55" s="395"/>
      <c r="K55" s="257"/>
      <c r="L55" s="257"/>
      <c r="M55" s="396"/>
      <c r="N55" s="397"/>
      <c r="O55"/>
      <c r="P55"/>
      <c r="Q55"/>
      <c r="R55"/>
      <c r="S55"/>
      <c r="T55"/>
      <c r="U55"/>
      <c r="V55"/>
      <c r="W55"/>
      <c r="X55"/>
      <c r="Y55"/>
      <c r="Z55"/>
      <c r="AA55"/>
      <c r="AB55"/>
    </row>
    <row r="56" spans="1:28" s="262" customFormat="1" ht="12.75">
      <c r="A56" s="105" t="s">
        <v>495</v>
      </c>
      <c r="B56" s="259"/>
      <c r="C56" s="260"/>
      <c r="D56" s="5"/>
      <c r="E56" s="260"/>
      <c r="F56" s="260"/>
      <c r="G56" s="260"/>
      <c r="H56" s="260"/>
      <c r="I56" s="260"/>
      <c r="J56" s="260"/>
      <c r="K56" s="5"/>
      <c r="L56" s="5"/>
      <c r="M56" s="261"/>
      <c r="N56" s="397"/>
      <c r="O56"/>
      <c r="P56"/>
      <c r="Q56"/>
      <c r="R56"/>
      <c r="S56"/>
      <c r="T56"/>
      <c r="U56"/>
      <c r="V56"/>
      <c r="W56"/>
      <c r="X56"/>
      <c r="Y56"/>
      <c r="Z56"/>
      <c r="AA56"/>
      <c r="AB56"/>
    </row>
    <row r="57" spans="1:28" s="262" customFormat="1" ht="76.5">
      <c r="A57" s="383" t="s">
        <v>341</v>
      </c>
      <c r="B57" s="398" t="s">
        <v>342</v>
      </c>
      <c r="C57" s="383" t="s">
        <v>343</v>
      </c>
      <c r="D57" s="383" t="s">
        <v>344</v>
      </c>
      <c r="E57" s="383" t="s">
        <v>345</v>
      </c>
      <c r="F57" s="383" t="s">
        <v>496</v>
      </c>
      <c r="G57" s="383" t="s">
        <v>497</v>
      </c>
      <c r="H57" s="383" t="s">
        <v>498</v>
      </c>
      <c r="I57" s="383" t="s">
        <v>499</v>
      </c>
      <c r="J57" s="383" t="s">
        <v>469</v>
      </c>
      <c r="K57" s="383" t="s">
        <v>346</v>
      </c>
      <c r="L57" s="383" t="s">
        <v>347</v>
      </c>
      <c r="M57" s="383" t="s">
        <v>348</v>
      </c>
      <c r="N57" s="390"/>
      <c r="O57"/>
      <c r="P57"/>
      <c r="Q57"/>
      <c r="R57"/>
      <c r="S57"/>
      <c r="T57"/>
      <c r="U57"/>
      <c r="V57"/>
      <c r="W57"/>
      <c r="X57"/>
      <c r="Y57"/>
      <c r="Z57"/>
      <c r="AA57"/>
      <c r="AB57"/>
    </row>
    <row r="58" spans="1:28" s="262" customFormat="1" ht="12.75">
      <c r="A58" s="281">
        <v>0</v>
      </c>
      <c r="B58" s="282" t="s">
        <v>349</v>
      </c>
      <c r="C58" s="283">
        <v>10</v>
      </c>
      <c r="D58" s="284">
        <v>6.8</v>
      </c>
      <c r="E58" s="285">
        <v>0</v>
      </c>
      <c r="F58" s="343">
        <v>3807.6811560138576</v>
      </c>
      <c r="G58" s="272"/>
      <c r="H58" s="343">
        <v>39.13765675133901</v>
      </c>
      <c r="I58" s="343">
        <v>37.83618637507257</v>
      </c>
      <c r="J58" s="343">
        <f>SUM(H58:I58)</f>
        <v>76.97384312641158</v>
      </c>
      <c r="K58" s="274">
        <v>0</v>
      </c>
      <c r="L58" s="343">
        <v>293.2904280264584</v>
      </c>
      <c r="M58" s="274">
        <v>0</v>
      </c>
      <c r="N58" s="399"/>
      <c r="O58"/>
      <c r="P58"/>
      <c r="Q58"/>
      <c r="R58"/>
      <c r="S58"/>
      <c r="T58"/>
      <c r="U58"/>
      <c r="V58"/>
      <c r="W58" s="400"/>
      <c r="X58" s="400"/>
      <c r="Y58" s="400"/>
      <c r="Z58" s="400"/>
      <c r="AA58" s="400"/>
      <c r="AB58"/>
    </row>
    <row r="59" spans="1:28" s="262" customFormat="1" ht="12.75">
      <c r="A59" s="267" t="s">
        <v>270</v>
      </c>
      <c r="B59" s="268" t="s">
        <v>350</v>
      </c>
      <c r="C59" s="269">
        <v>11</v>
      </c>
      <c r="D59" s="270">
        <v>7.1</v>
      </c>
      <c r="E59" s="271">
        <v>0.1</v>
      </c>
      <c r="F59" s="343">
        <v>3922.4331095205703</v>
      </c>
      <c r="G59" s="273">
        <f aca="true" t="shared" si="3" ref="G59:G64">F59-F$59</f>
        <v>0</v>
      </c>
      <c r="H59" s="343">
        <v>39.529033318852406</v>
      </c>
      <c r="I59" s="343">
        <v>37.83618637507257</v>
      </c>
      <c r="J59" s="343">
        <f aca="true" t="shared" si="4" ref="J59:J64">SUM(H59:I59)</f>
        <v>77.36521969392498</v>
      </c>
      <c r="K59" s="274">
        <f aca="true" t="shared" si="5" ref="K59:K64">J59-J$59</f>
        <v>0</v>
      </c>
      <c r="L59" s="343">
        <v>347.91378482142613</v>
      </c>
      <c r="M59" s="274">
        <f aca="true" t="shared" si="6" ref="M59:M64">L59-L$59</f>
        <v>0</v>
      </c>
      <c r="N59" s="401"/>
      <c r="O59"/>
      <c r="P59"/>
      <c r="Q59"/>
      <c r="R59"/>
      <c r="S59"/>
      <c r="T59"/>
      <c r="U59"/>
      <c r="V59"/>
      <c r="W59" s="400"/>
      <c r="X59" s="400"/>
      <c r="Y59" s="400"/>
      <c r="Z59" s="400"/>
      <c r="AA59" s="400"/>
      <c r="AB59"/>
    </row>
    <row r="60" spans="1:28" s="262" customFormat="1" ht="12.75">
      <c r="A60" s="267">
        <v>2</v>
      </c>
      <c r="B60" s="268" t="s">
        <v>351</v>
      </c>
      <c r="C60" s="269">
        <v>12</v>
      </c>
      <c r="D60" s="270">
        <v>7.4</v>
      </c>
      <c r="E60" s="271">
        <v>0.2</v>
      </c>
      <c r="F60" s="343">
        <v>4083.0858444299693</v>
      </c>
      <c r="G60" s="273">
        <f t="shared" si="3"/>
        <v>160.652734909399</v>
      </c>
      <c r="H60" s="343">
        <v>39.92432365204093</v>
      </c>
      <c r="I60" s="343">
        <v>37.83618637507257</v>
      </c>
      <c r="J60" s="343">
        <f t="shared" si="4"/>
        <v>77.7605100271135</v>
      </c>
      <c r="K60" s="274">
        <f t="shared" si="5"/>
        <v>0.3952903331885125</v>
      </c>
      <c r="L60" s="343">
        <v>347.91378482142613</v>
      </c>
      <c r="M60" s="274">
        <f t="shared" si="6"/>
        <v>0</v>
      </c>
      <c r="N60" s="401"/>
      <c r="O60"/>
      <c r="P60"/>
      <c r="Q60"/>
      <c r="R60"/>
      <c r="S60"/>
      <c r="T60"/>
      <c r="U60"/>
      <c r="V60"/>
      <c r="W60" s="400"/>
      <c r="X60" s="400"/>
      <c r="Y60" s="400"/>
      <c r="Z60" s="400"/>
      <c r="AA60" s="400"/>
      <c r="AB60"/>
    </row>
    <row r="61" spans="1:27" s="262" customFormat="1" ht="12.75">
      <c r="A61" s="267">
        <v>3</v>
      </c>
      <c r="B61" s="268" t="s">
        <v>352</v>
      </c>
      <c r="C61" s="269">
        <v>13</v>
      </c>
      <c r="D61" s="270">
        <v>8</v>
      </c>
      <c r="E61" s="271">
        <v>0.3</v>
      </c>
      <c r="F61" s="343">
        <v>4312.589751443395</v>
      </c>
      <c r="G61" s="273">
        <f t="shared" si="3"/>
        <v>390.1566419228243</v>
      </c>
      <c r="H61" s="343">
        <v>40.32356688856134</v>
      </c>
      <c r="I61" s="343">
        <v>37.83618637507257</v>
      </c>
      <c r="J61" s="343">
        <f t="shared" si="4"/>
        <v>78.15975326363392</v>
      </c>
      <c r="K61" s="274">
        <f t="shared" si="5"/>
        <v>0.794533569708932</v>
      </c>
      <c r="L61" s="343">
        <v>378.050809260029</v>
      </c>
      <c r="M61" s="274">
        <f t="shared" si="6"/>
        <v>30.13702443860285</v>
      </c>
      <c r="N61" s="401"/>
      <c r="O61"/>
      <c r="P61"/>
      <c r="Q61"/>
      <c r="R61"/>
      <c r="S61"/>
      <c r="T61"/>
      <c r="U61"/>
      <c r="V61"/>
      <c r="W61" s="400"/>
      <c r="X61" s="400"/>
      <c r="Y61" s="400"/>
      <c r="Z61" s="400"/>
      <c r="AA61" s="400"/>
    </row>
    <row r="62" spans="1:28" s="262" customFormat="1" ht="12.75">
      <c r="A62" s="267">
        <v>4</v>
      </c>
      <c r="B62" s="268" t="s">
        <v>353</v>
      </c>
      <c r="C62" s="269">
        <v>14</v>
      </c>
      <c r="D62" s="270">
        <v>8.1</v>
      </c>
      <c r="E62" s="271">
        <v>0.4</v>
      </c>
      <c r="F62" s="343">
        <v>4542.093658456822</v>
      </c>
      <c r="G62" s="273">
        <f t="shared" si="3"/>
        <v>619.6605489362514</v>
      </c>
      <c r="H62" s="343">
        <v>59.08472058349591</v>
      </c>
      <c r="I62" s="343">
        <v>37.83618637507257</v>
      </c>
      <c r="J62" s="343">
        <f t="shared" si="4"/>
        <v>96.92090695856848</v>
      </c>
      <c r="K62" s="274">
        <f t="shared" si="5"/>
        <v>19.555687264643495</v>
      </c>
      <c r="L62" s="343">
        <v>483.53039479513905</v>
      </c>
      <c r="M62" s="274">
        <f t="shared" si="6"/>
        <v>135.6166099737129</v>
      </c>
      <c r="N62" s="401"/>
      <c r="O62"/>
      <c r="P62"/>
      <c r="Q62"/>
      <c r="R62"/>
      <c r="S62"/>
      <c r="T62"/>
      <c r="U62"/>
      <c r="V62"/>
      <c r="W62" s="400"/>
      <c r="X62" s="400"/>
      <c r="Y62" s="400"/>
      <c r="Z62" s="400"/>
      <c r="AA62" s="400"/>
      <c r="AB62" s="286"/>
    </row>
    <row r="63" spans="1:28" s="262" customFormat="1" ht="12.75">
      <c r="A63" s="275">
        <v>5</v>
      </c>
      <c r="B63" s="268" t="s">
        <v>354</v>
      </c>
      <c r="C63" s="269">
        <v>15</v>
      </c>
      <c r="D63" s="270">
        <v>8.2</v>
      </c>
      <c r="E63" s="276">
        <v>0.5</v>
      </c>
      <c r="F63" s="343">
        <v>5058.47744923703</v>
      </c>
      <c r="G63" s="273">
        <f t="shared" si="3"/>
        <v>1136.0443397164595</v>
      </c>
      <c r="H63" s="343">
        <v>73.10999984048122</v>
      </c>
      <c r="I63" s="343">
        <v>37.83618637507257</v>
      </c>
      <c r="J63" s="343">
        <f t="shared" si="4"/>
        <v>110.9461862155538</v>
      </c>
      <c r="K63" s="274">
        <f t="shared" si="5"/>
        <v>33.58096652162881</v>
      </c>
      <c r="L63" s="343">
        <v>585.2428522754237</v>
      </c>
      <c r="M63" s="274">
        <f t="shared" si="6"/>
        <v>237.3290674539976</v>
      </c>
      <c r="N63" s="402"/>
      <c r="O63"/>
      <c r="P63"/>
      <c r="Q63"/>
      <c r="R63"/>
      <c r="S63"/>
      <c r="T63"/>
      <c r="U63"/>
      <c r="V63"/>
      <c r="W63" s="400"/>
      <c r="X63" s="400"/>
      <c r="Y63" s="400"/>
      <c r="Z63" s="400"/>
      <c r="AA63" s="400"/>
      <c r="AB63" s="286"/>
    </row>
    <row r="64" spans="1:28" s="262" customFormat="1" ht="12.75">
      <c r="A64" s="267">
        <v>6</v>
      </c>
      <c r="B64" s="268" t="s">
        <v>500</v>
      </c>
      <c r="C64" s="269">
        <v>18</v>
      </c>
      <c r="D64" s="270">
        <v>8.4</v>
      </c>
      <c r="E64" s="271">
        <v>0.6</v>
      </c>
      <c r="F64" s="343">
        <v>5058.47744923703</v>
      </c>
      <c r="G64" s="273">
        <f t="shared" si="3"/>
        <v>1136.0443397164595</v>
      </c>
      <c r="H64" s="343">
        <v>73.10999984048122</v>
      </c>
      <c r="I64" s="343">
        <v>37.83618637507257</v>
      </c>
      <c r="J64" s="343">
        <f t="shared" si="4"/>
        <v>110.9461862155538</v>
      </c>
      <c r="K64" s="274">
        <f t="shared" si="5"/>
        <v>33.58096652162881</v>
      </c>
      <c r="L64" s="343">
        <v>585.2428522754237</v>
      </c>
      <c r="M64" s="274">
        <f t="shared" si="6"/>
        <v>237.3290674539976</v>
      </c>
      <c r="N64" s="401"/>
      <c r="O64"/>
      <c r="P64"/>
      <c r="Q64"/>
      <c r="R64"/>
      <c r="S64"/>
      <c r="T64"/>
      <c r="U64"/>
      <c r="V64"/>
      <c r="W64" s="400"/>
      <c r="X64" s="400"/>
      <c r="Y64" s="400"/>
      <c r="Z64" s="400"/>
      <c r="AA64" s="400"/>
      <c r="AB64" s="286"/>
    </row>
    <row r="65" spans="23:28" ht="12.75">
      <c r="W65" s="286"/>
      <c r="X65" s="286"/>
      <c r="Y65" s="286"/>
      <c r="Z65" s="286"/>
      <c r="AA65" s="286"/>
      <c r="AB65" s="286"/>
    </row>
    <row r="66" spans="7:28" ht="12.75">
      <c r="G66" s="277"/>
      <c r="W66" s="286"/>
      <c r="X66" s="286"/>
      <c r="Y66" s="286"/>
      <c r="Z66" s="286"/>
      <c r="AA66" s="286"/>
      <c r="AB66" s="286"/>
    </row>
    <row r="67" spans="1:28" s="257" customFormat="1" ht="15.75">
      <c r="A67" s="394" t="s">
        <v>501</v>
      </c>
      <c r="B67" s="395"/>
      <c r="C67" s="395"/>
      <c r="D67" s="395"/>
      <c r="E67" s="395"/>
      <c r="F67" s="395"/>
      <c r="G67" s="395"/>
      <c r="H67" s="395"/>
      <c r="I67" s="395"/>
      <c r="J67" s="395"/>
      <c r="O67"/>
      <c r="P67"/>
      <c r="Q67"/>
      <c r="R67"/>
      <c r="S67"/>
      <c r="T67"/>
      <c r="U67"/>
      <c r="V67"/>
      <c r="W67" s="286"/>
      <c r="X67" s="286"/>
      <c r="Y67" s="286"/>
      <c r="Z67" s="286"/>
      <c r="AA67" s="286"/>
      <c r="AB67" s="286"/>
    </row>
    <row r="68" spans="1:28" ht="18.75">
      <c r="A68" s="105" t="s">
        <v>495</v>
      </c>
      <c r="B68" s="278"/>
      <c r="C68" s="279"/>
      <c r="D68" s="262"/>
      <c r="E68" s="280"/>
      <c r="F68" s="280"/>
      <c r="G68" s="280"/>
      <c r="H68" s="280"/>
      <c r="I68" s="280"/>
      <c r="J68" s="280"/>
      <c r="K68" s="262"/>
      <c r="L68" s="262"/>
      <c r="W68" s="286"/>
      <c r="X68" s="286"/>
      <c r="Y68" s="286"/>
      <c r="Z68" s="286"/>
      <c r="AA68" s="286"/>
      <c r="AB68" s="286"/>
    </row>
    <row r="69" spans="1:28" ht="36">
      <c r="A69" s="403" t="s">
        <v>341</v>
      </c>
      <c r="B69" s="404" t="s">
        <v>342</v>
      </c>
      <c r="C69" s="403" t="s">
        <v>343</v>
      </c>
      <c r="D69" s="403" t="s">
        <v>344</v>
      </c>
      <c r="E69" s="403" t="s">
        <v>345</v>
      </c>
      <c r="F69" s="403" t="s">
        <v>496</v>
      </c>
      <c r="G69" s="403" t="s">
        <v>497</v>
      </c>
      <c r="H69" s="403" t="s">
        <v>498</v>
      </c>
      <c r="I69" s="403" t="s">
        <v>499</v>
      </c>
      <c r="J69" s="403" t="s">
        <v>469</v>
      </c>
      <c r="K69" s="403" t="s">
        <v>346</v>
      </c>
      <c r="W69" s="286"/>
      <c r="X69" s="286"/>
      <c r="Y69" s="286"/>
      <c r="Z69" s="286"/>
      <c r="AA69" s="286"/>
      <c r="AB69" s="286"/>
    </row>
    <row r="70" spans="1:28" ht="12.75">
      <c r="A70" s="405">
        <v>0</v>
      </c>
      <c r="B70" s="406" t="s">
        <v>349</v>
      </c>
      <c r="C70" s="407">
        <v>10</v>
      </c>
      <c r="D70" s="408">
        <v>6.8</v>
      </c>
      <c r="E70" s="409">
        <v>0</v>
      </c>
      <c r="F70" s="343">
        <v>3736.249313490611</v>
      </c>
      <c r="G70" s="410"/>
      <c r="H70" s="343">
        <v>44.104930489471585</v>
      </c>
      <c r="I70" s="343">
        <v>37.83618637507257</v>
      </c>
      <c r="J70" s="410">
        <f>H70+I70</f>
        <v>81.94111686454416</v>
      </c>
      <c r="K70" s="170"/>
      <c r="Z70" s="286"/>
      <c r="AA70" s="286"/>
      <c r="AB70" s="286"/>
    </row>
    <row r="71" spans="1:11" ht="12.75">
      <c r="A71" s="411">
        <v>1</v>
      </c>
      <c r="B71" s="412" t="s">
        <v>502</v>
      </c>
      <c r="C71" s="413"/>
      <c r="D71" s="414"/>
      <c r="E71" s="415"/>
      <c r="F71" s="343">
        <v>0</v>
      </c>
      <c r="G71" s="416"/>
      <c r="H71" s="343">
        <v>0</v>
      </c>
      <c r="I71" s="343">
        <v>0</v>
      </c>
      <c r="J71" s="417"/>
      <c r="K71" s="170"/>
    </row>
    <row r="72" spans="1:14" ht="12.75">
      <c r="A72" s="418">
        <v>2</v>
      </c>
      <c r="B72" s="419" t="s">
        <v>351</v>
      </c>
      <c r="C72" s="420">
        <v>12</v>
      </c>
      <c r="D72" s="414">
        <v>7.4</v>
      </c>
      <c r="E72" s="421">
        <v>0.2</v>
      </c>
      <c r="F72" s="343">
        <v>4002.5568430615776</v>
      </c>
      <c r="G72" s="417">
        <f>F72-F70</f>
        <v>266.30752957096684</v>
      </c>
      <c r="H72" s="343">
        <v>44.5459797943663</v>
      </c>
      <c r="I72" s="343">
        <v>37.83618637507257</v>
      </c>
      <c r="J72" s="410">
        <f>H72+I72</f>
        <v>82.38216616943888</v>
      </c>
      <c r="K72" s="422">
        <f>J72-J70</f>
        <v>0.44104930489471883</v>
      </c>
      <c r="M72" s="397"/>
      <c r="N72" s="390"/>
    </row>
    <row r="73" spans="1:14" ht="12.75">
      <c r="A73" s="423"/>
      <c r="B73" s="424"/>
      <c r="C73" s="425"/>
      <c r="D73" s="426"/>
      <c r="E73" s="427"/>
      <c r="F73" s="428"/>
      <c r="G73" s="428"/>
      <c r="H73" s="428"/>
      <c r="I73" s="428"/>
      <c r="J73" s="428"/>
      <c r="K73" s="429"/>
      <c r="M73" s="397"/>
      <c r="N73" s="390"/>
    </row>
    <row r="74" spans="13:31" ht="15.75">
      <c r="M74" s="397"/>
      <c r="N74" s="397"/>
      <c r="AC74" s="258"/>
      <c r="AD74" s="258"/>
      <c r="AE74" s="258"/>
    </row>
    <row r="75" spans="1:31" s="258" customFormat="1" ht="15.75">
      <c r="A75" s="481" t="s">
        <v>355</v>
      </c>
      <c r="B75" s="481"/>
      <c r="C75" s="481"/>
      <c r="D75" s="481"/>
      <c r="E75" s="481"/>
      <c r="F75" s="481"/>
      <c r="G75" s="481"/>
      <c r="H75" s="481"/>
      <c r="I75" s="481"/>
      <c r="J75" s="481"/>
      <c r="K75"/>
      <c r="L75"/>
      <c r="M75" s="397"/>
      <c r="N75" s="397"/>
      <c r="O75"/>
      <c r="P75"/>
      <c r="Q75"/>
      <c r="R75"/>
      <c r="S75"/>
      <c r="T75"/>
      <c r="U75"/>
      <c r="V75"/>
      <c r="W75"/>
      <c r="X75"/>
      <c r="Y75"/>
      <c r="Z75"/>
      <c r="AA75"/>
      <c r="AB75"/>
      <c r="AC75" s="262"/>
      <c r="AD75" s="262"/>
      <c r="AE75" s="262"/>
    </row>
    <row r="76" spans="1:31" s="262" customFormat="1" ht="18.75" customHeight="1" thickBot="1">
      <c r="A76" s="480" t="s">
        <v>495</v>
      </c>
      <c r="B76" s="480"/>
      <c r="C76" s="280"/>
      <c r="D76" s="280"/>
      <c r="E76" s="280"/>
      <c r="F76" s="280"/>
      <c r="G76" s="280"/>
      <c r="H76" s="279"/>
      <c r="M76" s="430"/>
      <c r="N76" s="430"/>
      <c r="O76"/>
      <c r="P76"/>
      <c r="Q76"/>
      <c r="R76"/>
      <c r="S76"/>
      <c r="T76"/>
      <c r="U76"/>
      <c r="V76"/>
      <c r="W76"/>
      <c r="X76"/>
      <c r="Y76"/>
      <c r="Z76"/>
      <c r="AA76"/>
      <c r="AB76"/>
      <c r="AC76" s="286"/>
      <c r="AD76" s="286"/>
      <c r="AE76" s="286"/>
    </row>
    <row r="77" spans="1:28" s="286" customFormat="1" ht="64.5" thickBot="1">
      <c r="A77" s="431" t="s">
        <v>341</v>
      </c>
      <c r="B77" s="432" t="s">
        <v>342</v>
      </c>
      <c r="C77" s="433" t="s">
        <v>343</v>
      </c>
      <c r="D77" s="433" t="s">
        <v>356</v>
      </c>
      <c r="E77" s="433" t="s">
        <v>496</v>
      </c>
      <c r="F77" s="433" t="s">
        <v>497</v>
      </c>
      <c r="G77" s="433" t="s">
        <v>503</v>
      </c>
      <c r="H77" s="433" t="s">
        <v>504</v>
      </c>
      <c r="I77" s="434" t="s">
        <v>505</v>
      </c>
      <c r="J77" s="435" t="s">
        <v>346</v>
      </c>
      <c r="K77" s="433" t="s">
        <v>347</v>
      </c>
      <c r="L77" s="434" t="s">
        <v>348</v>
      </c>
      <c r="M77" s="390"/>
      <c r="N77" s="390"/>
      <c r="O77"/>
      <c r="P77"/>
      <c r="Q77"/>
      <c r="R77"/>
      <c r="S77"/>
      <c r="T77"/>
      <c r="U77"/>
      <c r="V77"/>
      <c r="W77"/>
      <c r="X77"/>
      <c r="Y77"/>
      <c r="Z77"/>
      <c r="AA77"/>
      <c r="AB77"/>
    </row>
    <row r="78" spans="1:28" s="286" customFormat="1" ht="12.75">
      <c r="A78" s="263">
        <v>0</v>
      </c>
      <c r="B78" s="264" t="s">
        <v>349</v>
      </c>
      <c r="C78" s="265">
        <v>10</v>
      </c>
      <c r="D78" s="287">
        <v>0</v>
      </c>
      <c r="E78" s="343">
        <v>2320.576779315223</v>
      </c>
      <c r="F78" s="266"/>
      <c r="G78" s="343">
        <v>26.968727872851</v>
      </c>
      <c r="H78" s="343">
        <v>37.83618637507257</v>
      </c>
      <c r="I78" s="288">
        <f>G78+H78</f>
        <v>64.80491424792358</v>
      </c>
      <c r="J78" s="289">
        <v>0</v>
      </c>
      <c r="K78" s="343">
        <v>288.55993725183805</v>
      </c>
      <c r="L78" s="289">
        <v>0</v>
      </c>
      <c r="M78" s="436"/>
      <c r="N78" s="436"/>
      <c r="O78"/>
      <c r="P78"/>
      <c r="Q78"/>
      <c r="R78"/>
      <c r="S78"/>
      <c r="T78"/>
      <c r="U78"/>
      <c r="V78"/>
      <c r="W78"/>
      <c r="X78"/>
      <c r="Y78"/>
      <c r="Z78"/>
      <c r="AA78"/>
      <c r="AB78"/>
    </row>
    <row r="79" spans="1:28" s="286" customFormat="1" ht="12.75">
      <c r="A79" s="267" t="s">
        <v>357</v>
      </c>
      <c r="B79" s="268" t="s">
        <v>350</v>
      </c>
      <c r="C79" s="269">
        <v>11</v>
      </c>
      <c r="D79" s="290">
        <v>0.1</v>
      </c>
      <c r="E79" s="343">
        <v>2461.53613059864</v>
      </c>
      <c r="F79" s="273">
        <v>0</v>
      </c>
      <c r="G79" s="343">
        <v>29.78544901611557</v>
      </c>
      <c r="H79" s="343">
        <v>37.83618637507257</v>
      </c>
      <c r="I79" s="288">
        <f aca="true" t="shared" si="7" ref="I79:I84">G79+H79</f>
        <v>67.62163539118814</v>
      </c>
      <c r="J79" s="289">
        <f aca="true" t="shared" si="8" ref="J79:J84">I79-I$79</f>
        <v>0</v>
      </c>
      <c r="K79" s="343">
        <v>345.0668580742185</v>
      </c>
      <c r="L79" s="289">
        <f aca="true" t="shared" si="9" ref="L79:L84">K79-K$79</f>
        <v>0</v>
      </c>
      <c r="M79" s="437"/>
      <c r="N79" s="437"/>
      <c r="O79"/>
      <c r="P79"/>
      <c r="Q79"/>
      <c r="R79"/>
      <c r="S79"/>
      <c r="T79"/>
      <c r="U79"/>
      <c r="V79"/>
      <c r="W79"/>
      <c r="X79"/>
      <c r="Y79"/>
      <c r="Z79"/>
      <c r="AA79"/>
      <c r="AB79"/>
    </row>
    <row r="80" spans="1:28" s="286" customFormat="1" ht="12.75">
      <c r="A80" s="267">
        <v>2</v>
      </c>
      <c r="B80" s="268" t="s">
        <v>351</v>
      </c>
      <c r="C80" s="269">
        <v>12</v>
      </c>
      <c r="D80" s="290">
        <v>0.2</v>
      </c>
      <c r="E80" s="343">
        <v>2597.533032764725</v>
      </c>
      <c r="F80" s="273">
        <f>E80-E$79</f>
        <v>135.99690216608496</v>
      </c>
      <c r="G80" s="343">
        <v>30.08330350627673</v>
      </c>
      <c r="H80" s="343">
        <v>37.83618637507257</v>
      </c>
      <c r="I80" s="288">
        <f t="shared" si="7"/>
        <v>67.9194898813493</v>
      </c>
      <c r="J80" s="289">
        <f t="shared" si="8"/>
        <v>0.29785449016117127</v>
      </c>
      <c r="K80" s="343">
        <v>346.95042210163115</v>
      </c>
      <c r="L80" s="289">
        <f t="shared" si="9"/>
        <v>1.8835640274126604</v>
      </c>
      <c r="M80" s="437"/>
      <c r="N80" s="437"/>
      <c r="O80"/>
      <c r="P80"/>
      <c r="Q80"/>
      <c r="R80"/>
      <c r="S80"/>
      <c r="T80"/>
      <c r="U80"/>
      <c r="V80"/>
      <c r="W80"/>
      <c r="X80"/>
      <c r="Y80"/>
      <c r="Z80"/>
      <c r="AA80"/>
      <c r="AB80"/>
    </row>
    <row r="81" spans="1:28" s="286" customFormat="1" ht="12.75">
      <c r="A81" s="267">
        <v>3</v>
      </c>
      <c r="B81" s="268" t="s">
        <v>352</v>
      </c>
      <c r="C81" s="269">
        <v>13</v>
      </c>
      <c r="D81" s="290">
        <v>0.3</v>
      </c>
      <c r="E81" s="343">
        <v>2772.1832437945536</v>
      </c>
      <c r="F81" s="273">
        <f>E81-E$79</f>
        <v>310.6471131959138</v>
      </c>
      <c r="G81" s="343">
        <v>41.74383791043026</v>
      </c>
      <c r="H81" s="343">
        <v>37.83618637507257</v>
      </c>
      <c r="I81" s="288">
        <f t="shared" si="7"/>
        <v>79.58002428550283</v>
      </c>
      <c r="J81" s="289">
        <f t="shared" si="8"/>
        <v>11.958388894314695</v>
      </c>
      <c r="K81" s="343">
        <v>373.3203184854086</v>
      </c>
      <c r="L81" s="289">
        <f t="shared" si="9"/>
        <v>28.253460411190133</v>
      </c>
      <c r="M81" s="437"/>
      <c r="N81" s="437"/>
      <c r="O81"/>
      <c r="P81"/>
      <c r="Q81"/>
      <c r="R81"/>
      <c r="S81"/>
      <c r="T81"/>
      <c r="U81"/>
      <c r="V81"/>
      <c r="W81"/>
      <c r="X81"/>
      <c r="Y81"/>
      <c r="Z81"/>
      <c r="AA81"/>
      <c r="AB81"/>
    </row>
    <row r="82" spans="1:28" s="286" customFormat="1" ht="12.75">
      <c r="A82" s="267">
        <v>4</v>
      </c>
      <c r="B82" s="268" t="s">
        <v>353</v>
      </c>
      <c r="C82" s="269">
        <v>14</v>
      </c>
      <c r="D82" s="290">
        <v>0.4</v>
      </c>
      <c r="E82" s="343">
        <v>3115.96807896626</v>
      </c>
      <c r="F82" s="273">
        <f>E82-E$79</f>
        <v>654.43194836762</v>
      </c>
      <c r="G82" s="343">
        <v>51.08123076374726</v>
      </c>
      <c r="H82" s="343">
        <v>37.83618637507257</v>
      </c>
      <c r="I82" s="288">
        <f t="shared" si="7"/>
        <v>88.91741713881983</v>
      </c>
      <c r="J82" s="289">
        <f t="shared" si="8"/>
        <v>21.295781747631693</v>
      </c>
      <c r="K82" s="343">
        <v>373.3203184854086</v>
      </c>
      <c r="L82" s="289">
        <f t="shared" si="9"/>
        <v>28.253460411190133</v>
      </c>
      <c r="M82" s="437"/>
      <c r="N82" s="437"/>
      <c r="O82"/>
      <c r="P82"/>
      <c r="Q82"/>
      <c r="R82"/>
      <c r="S82"/>
      <c r="T82"/>
      <c r="U82"/>
      <c r="V82"/>
      <c r="W82"/>
      <c r="X82"/>
      <c r="Y82"/>
      <c r="Z82"/>
      <c r="AA82"/>
      <c r="AB82"/>
    </row>
    <row r="83" spans="1:28" s="286" customFormat="1" ht="12.75">
      <c r="A83" s="275">
        <v>5</v>
      </c>
      <c r="B83" s="268" t="s">
        <v>354</v>
      </c>
      <c r="C83" s="269">
        <v>15</v>
      </c>
      <c r="D83" s="291">
        <v>0.5</v>
      </c>
      <c r="E83" s="343">
        <v>3356.6100637554546</v>
      </c>
      <c r="F83" s="273">
        <f>E83-E$79</f>
        <v>895.0739331568147</v>
      </c>
      <c r="G83" s="343">
        <v>57.61720477742465</v>
      </c>
      <c r="H83" s="343">
        <v>37.83618637507257</v>
      </c>
      <c r="I83" s="288">
        <f t="shared" si="7"/>
        <v>95.45339115249722</v>
      </c>
      <c r="J83" s="289">
        <f t="shared" si="8"/>
        <v>27.831755761309083</v>
      </c>
      <c r="K83" s="343">
        <v>475.03277596569336</v>
      </c>
      <c r="L83" s="289">
        <f t="shared" si="9"/>
        <v>129.96591789147487</v>
      </c>
      <c r="M83" s="437"/>
      <c r="N83" s="437"/>
      <c r="O83"/>
      <c r="P83"/>
      <c r="Q83"/>
      <c r="R83"/>
      <c r="S83"/>
      <c r="T83"/>
      <c r="U83"/>
      <c r="V83"/>
      <c r="W83"/>
      <c r="X83"/>
      <c r="Y83"/>
      <c r="Z83"/>
      <c r="AA83"/>
      <c r="AB83"/>
    </row>
    <row r="84" spans="1:28" s="286" customFormat="1" ht="12.75">
      <c r="A84" s="267">
        <v>6</v>
      </c>
      <c r="B84" s="268" t="s">
        <v>500</v>
      </c>
      <c r="C84" s="269">
        <v>18</v>
      </c>
      <c r="D84" s="290">
        <v>0.8</v>
      </c>
      <c r="E84" s="343">
        <v>3486.8401253466636</v>
      </c>
      <c r="F84" s="273">
        <f>E84-E$79</f>
        <v>1025.3039947480238</v>
      </c>
      <c r="G84" s="343">
        <v>61.15432777408458</v>
      </c>
      <c r="H84" s="343">
        <v>37.83618637507257</v>
      </c>
      <c r="I84" s="288">
        <f t="shared" si="7"/>
        <v>98.99051414915715</v>
      </c>
      <c r="J84" s="289">
        <f t="shared" si="8"/>
        <v>31.368878757969014</v>
      </c>
      <c r="K84" s="343">
        <v>475.03277596569336</v>
      </c>
      <c r="L84" s="289">
        <f t="shared" si="9"/>
        <v>129.96591789147487</v>
      </c>
      <c r="M84" s="437"/>
      <c r="N84" s="437"/>
      <c r="O84"/>
      <c r="P84"/>
      <c r="Q84"/>
      <c r="R84"/>
      <c r="S84"/>
      <c r="T84"/>
      <c r="U84"/>
      <c r="V84"/>
      <c r="W84"/>
      <c r="X84"/>
      <c r="Y84"/>
      <c r="Z84"/>
      <c r="AA84"/>
      <c r="AB84"/>
    </row>
    <row r="85" ht="12.75">
      <c r="A85" t="s">
        <v>506</v>
      </c>
    </row>
    <row r="87" spans="1:49" s="257" customFormat="1" ht="15.75">
      <c r="A87" s="481" t="s">
        <v>507</v>
      </c>
      <c r="B87" s="481"/>
      <c r="C87" s="481"/>
      <c r="D87" s="481"/>
      <c r="E87" s="481"/>
      <c r="F87" s="481"/>
      <c r="G87" s="481"/>
      <c r="H87" s="481"/>
      <c r="I87" s="481"/>
      <c r="J87" s="481"/>
      <c r="K87" s="481"/>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row>
    <row r="88" spans="1:10" ht="16.5" thickBot="1">
      <c r="A88" s="480" t="s">
        <v>495</v>
      </c>
      <c r="B88" s="480"/>
      <c r="C88" s="280"/>
      <c r="D88" s="279"/>
      <c r="E88" s="262"/>
      <c r="F88" s="262"/>
      <c r="G88" s="262"/>
      <c r="H88" s="262"/>
      <c r="I88" s="262"/>
      <c r="J88" s="262"/>
    </row>
    <row r="89" spans="1:11" ht="60.75" customHeight="1" thickBot="1">
      <c r="A89" s="438" t="s">
        <v>341</v>
      </c>
      <c r="B89" s="439" t="s">
        <v>342</v>
      </c>
      <c r="C89" s="440" t="s">
        <v>343</v>
      </c>
      <c r="D89" s="440" t="s">
        <v>356</v>
      </c>
      <c r="E89" s="440" t="s">
        <v>496</v>
      </c>
      <c r="F89" s="440" t="s">
        <v>497</v>
      </c>
      <c r="G89" s="440" t="s">
        <v>503</v>
      </c>
      <c r="H89" s="440" t="s">
        <v>504</v>
      </c>
      <c r="I89" s="441" t="s">
        <v>505</v>
      </c>
      <c r="J89" s="442" t="s">
        <v>346</v>
      </c>
      <c r="K89" s="286"/>
    </row>
    <row r="90" spans="1:11" ht="12" customHeight="1">
      <c r="A90" s="405">
        <v>0</v>
      </c>
      <c r="B90" s="406" t="s">
        <v>349</v>
      </c>
      <c r="C90" s="407">
        <v>10</v>
      </c>
      <c r="D90" s="443">
        <v>0</v>
      </c>
      <c r="E90" s="343">
        <v>2705.7613345762393</v>
      </c>
      <c r="F90" s="410"/>
      <c r="G90" s="343">
        <v>39.93978084628144</v>
      </c>
      <c r="H90" s="343">
        <v>37.83618637507257</v>
      </c>
      <c r="I90" s="444">
        <f>G90+H90</f>
        <v>77.77596722135401</v>
      </c>
      <c r="J90" s="445"/>
      <c r="K90" s="286"/>
    </row>
    <row r="91" spans="1:11" ht="12" customHeight="1">
      <c r="A91" s="418" t="s">
        <v>270</v>
      </c>
      <c r="B91" s="412" t="s">
        <v>350</v>
      </c>
      <c r="C91" s="413">
        <v>11</v>
      </c>
      <c r="D91" s="446">
        <v>0.1</v>
      </c>
      <c r="E91" s="343">
        <v>0</v>
      </c>
      <c r="F91" s="416"/>
      <c r="G91" s="343">
        <v>0</v>
      </c>
      <c r="H91" s="343">
        <v>0</v>
      </c>
      <c r="I91" s="444">
        <f>G91+H91</f>
        <v>0</v>
      </c>
      <c r="J91" s="447">
        <f>I90-I$90</f>
        <v>0</v>
      </c>
      <c r="K91" s="286"/>
    </row>
    <row r="92" spans="1:11" ht="12" customHeight="1">
      <c r="A92" s="418">
        <v>2</v>
      </c>
      <c r="B92" s="419" t="s">
        <v>351</v>
      </c>
      <c r="C92" s="420">
        <v>12</v>
      </c>
      <c r="D92" s="448">
        <v>0.2</v>
      </c>
      <c r="E92" s="343">
        <v>2904.417272146304</v>
      </c>
      <c r="F92" s="417"/>
      <c r="G92" s="343">
        <v>40.33917865474425</v>
      </c>
      <c r="H92" s="343">
        <v>37.83618637507257</v>
      </c>
      <c r="I92" s="444">
        <f>G92+H92</f>
        <v>78.17536502981682</v>
      </c>
      <c r="J92" s="447">
        <v>0</v>
      </c>
      <c r="K92" s="286"/>
    </row>
    <row r="93" spans="1:11" ht="12" customHeight="1">
      <c r="A93" s="418">
        <v>3</v>
      </c>
      <c r="B93" s="419" t="s">
        <v>352</v>
      </c>
      <c r="C93" s="420">
        <v>13</v>
      </c>
      <c r="D93" s="448">
        <v>0.3</v>
      </c>
      <c r="E93" s="343">
        <v>3290.761597951867</v>
      </c>
      <c r="F93" s="417"/>
      <c r="G93" s="343">
        <v>55.828722764571424</v>
      </c>
      <c r="H93" s="343">
        <v>37.83618637507257</v>
      </c>
      <c r="I93" s="444">
        <f>G93+H93</f>
        <v>93.664909139644</v>
      </c>
      <c r="J93" s="447">
        <f>I92-I$90</f>
        <v>0.39939780846280826</v>
      </c>
      <c r="K93" s="286"/>
    </row>
  </sheetData>
  <mergeCells count="11">
    <mergeCell ref="A76:B76"/>
    <mergeCell ref="A75:J75"/>
    <mergeCell ref="A87:K87"/>
    <mergeCell ref="A88:B88"/>
    <mergeCell ref="E6:F6"/>
    <mergeCell ref="E21:F21"/>
    <mergeCell ref="A38:F38"/>
    <mergeCell ref="A5:H5"/>
    <mergeCell ref="A20:H20"/>
    <mergeCell ref="G21:H21"/>
    <mergeCell ref="G6:H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F32"/>
  <sheetViews>
    <sheetView zoomScale="75" zoomScaleNormal="75" workbookViewId="0" topLeftCell="A1">
      <selection activeCell="W4" sqref="W4:W30"/>
    </sheetView>
  </sheetViews>
  <sheetFormatPr defaultColWidth="9.140625" defaultRowHeight="12.75"/>
  <cols>
    <col min="1" max="1" width="13.421875" style="0" customWidth="1"/>
    <col min="2" max="2" width="31.7109375" style="0" customWidth="1"/>
    <col min="3" max="3" width="19.57421875" style="0" customWidth="1"/>
    <col min="4" max="4" width="9.00390625" style="0" customWidth="1"/>
    <col min="5" max="5" width="11.140625" style="0" customWidth="1"/>
    <col min="6" max="6" width="9.7109375" style="0" customWidth="1"/>
    <col min="9" max="9" width="10.28125" style="0" customWidth="1"/>
  </cols>
  <sheetData>
    <row r="1" spans="1:6" ht="13.5" thickBot="1">
      <c r="A1" s="293" t="s">
        <v>358</v>
      </c>
      <c r="B1" s="294"/>
      <c r="C1" s="294"/>
      <c r="D1" s="294"/>
      <c r="E1" s="294"/>
      <c r="F1" s="294"/>
    </row>
    <row r="2" spans="1:6" ht="13.5" thickBot="1">
      <c r="A2" s="293"/>
      <c r="B2" s="294"/>
      <c r="C2" s="482" t="s">
        <v>359</v>
      </c>
      <c r="D2" s="483"/>
      <c r="E2" s="483"/>
      <c r="F2" s="484"/>
    </row>
    <row r="3" spans="1:6" ht="13.5" thickBot="1">
      <c r="A3" s="295" t="s">
        <v>360</v>
      </c>
      <c r="B3" s="296" t="s">
        <v>361</v>
      </c>
      <c r="C3" s="297" t="s">
        <v>362</v>
      </c>
      <c r="D3" s="298" t="s">
        <v>363</v>
      </c>
      <c r="E3" s="299" t="s">
        <v>284</v>
      </c>
      <c r="F3" s="300" t="s">
        <v>364</v>
      </c>
    </row>
    <row r="4" spans="1:6" ht="12.75">
      <c r="A4" s="301">
        <v>1</v>
      </c>
      <c r="B4" s="302" t="s">
        <v>365</v>
      </c>
      <c r="C4" s="303">
        <v>55</v>
      </c>
      <c r="D4" s="303">
        <v>847</v>
      </c>
      <c r="E4" s="303">
        <v>121</v>
      </c>
      <c r="F4" s="304">
        <f>SUM(C4:E4)</f>
        <v>1023</v>
      </c>
    </row>
    <row r="5" spans="1:6" ht="12.75">
      <c r="A5" s="305"/>
      <c r="B5" s="306" t="s">
        <v>366</v>
      </c>
      <c r="C5" s="307">
        <v>0.053763440860215055</v>
      </c>
      <c r="D5" s="307">
        <v>0.8279569892473119</v>
      </c>
      <c r="E5" s="307">
        <v>0.11827956989247312</v>
      </c>
      <c r="F5" s="308">
        <f>F4/$F4</f>
        <v>1</v>
      </c>
    </row>
    <row r="6" spans="1:6" ht="12.75">
      <c r="A6" s="305"/>
      <c r="B6" s="309" t="s">
        <v>367</v>
      </c>
      <c r="C6" s="310">
        <v>2300.8727272727274</v>
      </c>
      <c r="D6" s="310">
        <v>1789.0377804014167</v>
      </c>
      <c r="E6" s="310">
        <v>2502.96694214876</v>
      </c>
      <c r="F6" s="311">
        <f aca="true" t="shared" si="0" ref="F6:F12">SUMPRODUCT($C$5:$E$5,C6:E6)</f>
        <v>1900.9990224828935</v>
      </c>
    </row>
    <row r="7" spans="1:6" ht="12.75">
      <c r="A7" s="305"/>
      <c r="B7" s="312" t="s">
        <v>368</v>
      </c>
      <c r="C7" s="313">
        <v>487.5092592592594</v>
      </c>
      <c r="D7" s="313">
        <v>378.27465667915084</v>
      </c>
      <c r="E7" s="313">
        <v>578.164347826087</v>
      </c>
      <c r="F7" s="314">
        <f t="shared" si="0"/>
        <v>407.7903514696545</v>
      </c>
    </row>
    <row r="8" spans="1:6" ht="12.75">
      <c r="A8" s="305"/>
      <c r="B8" s="315" t="s">
        <v>369</v>
      </c>
      <c r="C8" s="316">
        <f>C7/C6</f>
        <v>0.2118801502928475</v>
      </c>
      <c r="D8" s="316">
        <f>D7/D6</f>
        <v>0.21144028417011695</v>
      </c>
      <c r="E8" s="316">
        <f>E7/E6</f>
        <v>0.23099160364049454</v>
      </c>
      <c r="F8" s="316">
        <f t="shared" si="0"/>
        <v>0.2137764545441794</v>
      </c>
    </row>
    <row r="9" spans="1:6" ht="12.75">
      <c r="A9" s="305"/>
      <c r="B9" s="317" t="s">
        <v>370</v>
      </c>
      <c r="C9" s="318">
        <v>21294.327272727274</v>
      </c>
      <c r="D9" s="318">
        <v>17192.365997638724</v>
      </c>
      <c r="E9" s="318">
        <v>25746.95867768595</v>
      </c>
      <c r="F9" s="314">
        <f t="shared" si="0"/>
        <v>18424.735092864124</v>
      </c>
    </row>
    <row r="10" spans="1:6" ht="12.75">
      <c r="A10" s="305"/>
      <c r="B10" s="317" t="s">
        <v>371</v>
      </c>
      <c r="C10" s="319">
        <v>9.696250453286076</v>
      </c>
      <c r="D10" s="319">
        <v>11.444715893634338</v>
      </c>
      <c r="E10" s="319">
        <v>10.850822203198554</v>
      </c>
      <c r="F10" s="320">
        <f t="shared" si="0"/>
        <v>11.280466885069448</v>
      </c>
    </row>
    <row r="11" spans="1:6" ht="12.75">
      <c r="A11" s="305"/>
      <c r="B11" s="321" t="s">
        <v>372</v>
      </c>
      <c r="C11" s="313">
        <v>9106.472727272727</v>
      </c>
      <c r="D11" s="313">
        <v>4822.177095631641</v>
      </c>
      <c r="E11" s="313">
        <v>8431.00826446281</v>
      </c>
      <c r="F11" s="314">
        <f t="shared" si="0"/>
        <v>5479.366568914957</v>
      </c>
    </row>
    <row r="12" spans="1:6" ht="13.5" thickBot="1">
      <c r="A12" s="322"/>
      <c r="B12" s="323" t="s">
        <v>373</v>
      </c>
      <c r="C12" s="324">
        <v>4.076595627989342</v>
      </c>
      <c r="D12" s="324">
        <v>3.142396095059017</v>
      </c>
      <c r="E12" s="324">
        <v>3.6476438731592835</v>
      </c>
      <c r="F12" s="325">
        <f t="shared" si="0"/>
        <v>3.2523823662821845</v>
      </c>
    </row>
    <row r="13" spans="1:6" ht="12.75">
      <c r="A13" s="301">
        <v>2</v>
      </c>
      <c r="B13" s="302" t="s">
        <v>365</v>
      </c>
      <c r="C13" s="303">
        <v>27</v>
      </c>
      <c r="D13" s="303">
        <v>51</v>
      </c>
      <c r="E13" s="303">
        <v>77</v>
      </c>
      <c r="F13" s="304">
        <f>SUM(C13:E13)</f>
        <v>155</v>
      </c>
    </row>
    <row r="14" spans="1:6" ht="12.75">
      <c r="A14" s="305"/>
      <c r="B14" s="306" t="s">
        <v>366</v>
      </c>
      <c r="C14" s="307">
        <v>0.17419354838709677</v>
      </c>
      <c r="D14" s="307">
        <v>0.32903225806451614</v>
      </c>
      <c r="E14" s="307">
        <v>0.4967741935483871</v>
      </c>
      <c r="F14" s="308">
        <f>F13/$F13</f>
        <v>1</v>
      </c>
    </row>
    <row r="15" spans="1:6" ht="12.75">
      <c r="A15" s="305"/>
      <c r="B15" s="309" t="s">
        <v>367</v>
      </c>
      <c r="C15" s="310">
        <v>2720.4444444444443</v>
      </c>
      <c r="D15" s="310">
        <v>2260.1176470588234</v>
      </c>
      <c r="E15" s="310">
        <v>1749.1168831168832</v>
      </c>
      <c r="F15" s="311">
        <f aca="true" t="shared" si="1" ref="F15:F21">SUMPRODUCT($C$14:$E$14,C15:E15)</f>
        <v>2086.451612903226</v>
      </c>
    </row>
    <row r="16" spans="1:6" ht="12.75">
      <c r="A16" s="305"/>
      <c r="B16" s="312" t="s">
        <v>368</v>
      </c>
      <c r="C16" s="313">
        <v>475.2481481481481</v>
      </c>
      <c r="D16" s="313">
        <v>373.2058823529411</v>
      </c>
      <c r="E16" s="313">
        <v>370.65454545454526</v>
      </c>
      <c r="F16" s="314">
        <f t="shared" si="1"/>
        <v>389.7135483870967</v>
      </c>
    </row>
    <row r="17" spans="1:6" ht="12.75">
      <c r="A17" s="305"/>
      <c r="B17" s="315" t="s">
        <v>369</v>
      </c>
      <c r="C17" s="316">
        <f>C16/C15</f>
        <v>0.17469503893699287</v>
      </c>
      <c r="D17" s="316">
        <f>D16/D15</f>
        <v>0.16512675029930765</v>
      </c>
      <c r="E17" s="316">
        <f>E16/E15</f>
        <v>0.21190953505293939</v>
      </c>
      <c r="F17" s="316">
        <f t="shared" si="1"/>
        <v>0.19003396461703115</v>
      </c>
    </row>
    <row r="18" spans="1:6" ht="12.75">
      <c r="A18" s="305"/>
      <c r="B18" s="317" t="s">
        <v>370</v>
      </c>
      <c r="C18" s="318">
        <v>25383.444444444445</v>
      </c>
      <c r="D18" s="318">
        <v>19986.882352941175</v>
      </c>
      <c r="E18" s="318">
        <v>16754.805194805194</v>
      </c>
      <c r="F18" s="314">
        <f t="shared" si="1"/>
        <v>19321.316129032257</v>
      </c>
    </row>
    <row r="19" spans="1:6" ht="12.75">
      <c r="A19" s="305"/>
      <c r="B19" s="317" t="s">
        <v>371</v>
      </c>
      <c r="C19" s="319">
        <v>9.481131027507924</v>
      </c>
      <c r="D19" s="319">
        <v>9.551503102720883</v>
      </c>
      <c r="E19" s="319">
        <v>9.456920061919053</v>
      </c>
      <c r="F19" s="320">
        <f t="shared" si="1"/>
        <v>9.49225832741449</v>
      </c>
    </row>
    <row r="20" spans="1:6" ht="12.75">
      <c r="A20" s="305"/>
      <c r="B20" s="321" t="s">
        <v>372</v>
      </c>
      <c r="C20" s="313">
        <v>11194.25925925926</v>
      </c>
      <c r="D20" s="313">
        <v>4899</v>
      </c>
      <c r="E20" s="313">
        <v>5860.519480519481</v>
      </c>
      <c r="F20" s="314">
        <f t="shared" si="1"/>
        <v>6473.2516129032265</v>
      </c>
    </row>
    <row r="21" spans="1:6" ht="13.5" thickBot="1">
      <c r="A21" s="322"/>
      <c r="B21" s="323" t="s">
        <v>373</v>
      </c>
      <c r="C21" s="324">
        <v>4.1601419644717605</v>
      </c>
      <c r="D21" s="324">
        <v>2.5389163327466275</v>
      </c>
      <c r="E21" s="324">
        <v>3.3864001332662896</v>
      </c>
      <c r="F21" s="325">
        <f t="shared" si="1"/>
        <v>3.2423314598214183</v>
      </c>
    </row>
    <row r="22" spans="1:6" ht="12.75">
      <c r="A22" s="326">
        <v>3</v>
      </c>
      <c r="B22" s="302" t="s">
        <v>365</v>
      </c>
      <c r="C22" s="303">
        <v>6</v>
      </c>
      <c r="D22" s="303">
        <v>24</v>
      </c>
      <c r="E22" s="303">
        <v>2</v>
      </c>
      <c r="F22" s="304">
        <f>SUM(C22:E22)</f>
        <v>32</v>
      </c>
    </row>
    <row r="23" spans="1:6" ht="12.75">
      <c r="A23" s="327"/>
      <c r="B23" s="306" t="s">
        <v>366</v>
      </c>
      <c r="C23" s="307">
        <v>0.1875</v>
      </c>
      <c r="D23" s="307">
        <v>0.75</v>
      </c>
      <c r="E23" s="307">
        <v>0.0625</v>
      </c>
      <c r="F23" s="308">
        <f>F22/$F22</f>
        <v>1</v>
      </c>
    </row>
    <row r="24" spans="1:6" ht="12.75">
      <c r="A24" s="327"/>
      <c r="B24" s="309" t="s">
        <v>367</v>
      </c>
      <c r="C24" s="310">
        <v>3032.6666666666665</v>
      </c>
      <c r="D24" s="310">
        <v>2615.375</v>
      </c>
      <c r="E24" s="310">
        <v>2520</v>
      </c>
      <c r="F24" s="311">
        <f>SUMPRODUCT($C$23:$E$23,C24:E24)</f>
        <v>2687.65625</v>
      </c>
    </row>
    <row r="25" spans="1:6" ht="12.75">
      <c r="A25" s="327"/>
      <c r="B25" s="312" t="s">
        <v>368</v>
      </c>
      <c r="C25" s="313">
        <v>525.46</v>
      </c>
      <c r="D25" s="313">
        <v>334.0608695652175</v>
      </c>
      <c r="E25" s="313">
        <v>385</v>
      </c>
      <c r="F25" s="314">
        <f aca="true" t="shared" si="2" ref="F25:F30">SUMPRODUCT($C$5:$E$5,C25:E25)</f>
        <v>350.3762038335672</v>
      </c>
    </row>
    <row r="26" spans="1:6" ht="12.75">
      <c r="A26" s="305"/>
      <c r="B26" s="315" t="s">
        <v>369</v>
      </c>
      <c r="C26" s="316">
        <f>C25/C24</f>
        <v>0.1732666520114311</v>
      </c>
      <c r="D26" s="316">
        <f>D25/D24</f>
        <v>0.127729625604442</v>
      </c>
      <c r="E26" s="316">
        <f>E25/E24</f>
        <v>0.1527777777777778</v>
      </c>
      <c r="F26" s="328">
        <f t="shared" si="2"/>
        <v>0.1331405374962876</v>
      </c>
    </row>
    <row r="27" spans="1:6" ht="12.75">
      <c r="A27" s="327"/>
      <c r="B27" s="317" t="s">
        <v>370</v>
      </c>
      <c r="C27" s="318">
        <v>29690.5</v>
      </c>
      <c r="D27" s="318">
        <v>22820.708333333332</v>
      </c>
      <c r="E27" s="318">
        <v>25315</v>
      </c>
      <c r="F27" s="314">
        <f t="shared" si="2"/>
        <v>23485.075716845877</v>
      </c>
    </row>
    <row r="28" spans="1:6" ht="12.75">
      <c r="A28" s="327"/>
      <c r="B28" s="317" t="s">
        <v>371</v>
      </c>
      <c r="C28" s="319">
        <v>10.27512441583259</v>
      </c>
      <c r="D28" s="319">
        <v>8.922050320366166</v>
      </c>
      <c r="E28" s="319">
        <v>10.045634920634921</v>
      </c>
      <c r="F28" s="320">
        <f t="shared" si="2"/>
        <v>9.12769334273486</v>
      </c>
    </row>
    <row r="29" spans="1:6" ht="12.75">
      <c r="A29" s="327"/>
      <c r="B29" s="321" t="s">
        <v>372</v>
      </c>
      <c r="C29" s="313">
        <v>8653.666666666666</v>
      </c>
      <c r="D29" s="313">
        <v>8429.333333333334</v>
      </c>
      <c r="E29" s="313">
        <v>9238.5</v>
      </c>
      <c r="F29" s="314">
        <f t="shared" si="2"/>
        <v>8537.102150537636</v>
      </c>
    </row>
    <row r="30" spans="1:6" ht="13.5" thickBot="1">
      <c r="A30" s="329"/>
      <c r="B30" s="330" t="s">
        <v>373</v>
      </c>
      <c r="C30" s="331">
        <v>3.158624219511004</v>
      </c>
      <c r="D30" s="331">
        <v>3.260496322407938</v>
      </c>
      <c r="E30" s="331">
        <v>3.6660714285714286</v>
      </c>
      <c r="F30" s="332">
        <f t="shared" si="2"/>
        <v>3.3029905767446452</v>
      </c>
    </row>
    <row r="31" spans="1:6" ht="12.75">
      <c r="A31" s="294"/>
      <c r="B31" s="294"/>
      <c r="C31" s="294"/>
      <c r="D31" s="294"/>
      <c r="E31" s="294"/>
      <c r="F31" s="294"/>
    </row>
    <row r="32" spans="1:6" ht="12.75">
      <c r="A32" s="333" t="s">
        <v>374</v>
      </c>
      <c r="B32" s="294"/>
      <c r="C32" s="294"/>
      <c r="D32" s="294"/>
      <c r="E32" s="294"/>
      <c r="F32" s="294"/>
    </row>
  </sheetData>
  <mergeCells count="1">
    <mergeCell ref="C2:F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2:D38"/>
  <sheetViews>
    <sheetView zoomScale="75" zoomScaleNormal="75" workbookViewId="0" topLeftCell="B1">
      <selection activeCell="B30" sqref="B30:B38"/>
    </sheetView>
  </sheetViews>
  <sheetFormatPr defaultColWidth="9.140625" defaultRowHeight="12.75"/>
  <cols>
    <col min="1" max="1" width="62.28125" style="0" customWidth="1"/>
    <col min="2" max="2" width="181.421875" style="0" customWidth="1"/>
    <col min="3" max="3" width="102.28125" style="0" customWidth="1"/>
    <col min="4" max="4" width="33.00390625" style="0" customWidth="1"/>
  </cols>
  <sheetData>
    <row r="1" ht="13.5" thickBot="1"/>
    <row r="2" spans="1:4" ht="13.5" thickBot="1">
      <c r="A2" s="77" t="s">
        <v>115</v>
      </c>
      <c r="B2" s="78" t="s">
        <v>116</v>
      </c>
      <c r="C2" s="78" t="s">
        <v>117</v>
      </c>
      <c r="D2" s="78" t="s">
        <v>118</v>
      </c>
    </row>
    <row r="3" spans="1:4" ht="22.5">
      <c r="A3" s="88" t="s">
        <v>390</v>
      </c>
      <c r="B3" s="81" t="s">
        <v>465</v>
      </c>
      <c r="C3" s="81" t="s">
        <v>443</v>
      </c>
      <c r="D3" s="81" t="s">
        <v>169</v>
      </c>
    </row>
    <row r="4" spans="1:4" ht="22.5">
      <c r="A4" s="88" t="s">
        <v>391</v>
      </c>
      <c r="B4" s="81" t="s">
        <v>465</v>
      </c>
      <c r="C4" s="81" t="s">
        <v>443</v>
      </c>
      <c r="D4" s="81" t="s">
        <v>168</v>
      </c>
    </row>
    <row r="5" spans="1:4" ht="22.5">
      <c r="A5" s="88" t="s">
        <v>392</v>
      </c>
      <c r="B5" s="81" t="s">
        <v>465</v>
      </c>
      <c r="C5" s="81" t="s">
        <v>443</v>
      </c>
      <c r="D5" s="81" t="s">
        <v>167</v>
      </c>
    </row>
    <row r="6" spans="1:4" ht="22.5">
      <c r="A6" s="88" t="s">
        <v>423</v>
      </c>
      <c r="B6" s="81" t="s">
        <v>466</v>
      </c>
      <c r="C6" s="81" t="s">
        <v>443</v>
      </c>
      <c r="D6" s="81" t="s">
        <v>166</v>
      </c>
    </row>
    <row r="7" spans="1:4" ht="22.5">
      <c r="A7" s="88" t="s">
        <v>426</v>
      </c>
      <c r="B7" s="81" t="s">
        <v>466</v>
      </c>
      <c r="C7" s="81" t="s">
        <v>443</v>
      </c>
      <c r="D7" s="81" t="s">
        <v>165</v>
      </c>
    </row>
    <row r="8" spans="1:4" ht="22.5">
      <c r="A8" s="88" t="s">
        <v>427</v>
      </c>
      <c r="B8" s="81" t="s">
        <v>466</v>
      </c>
      <c r="C8" s="81" t="s">
        <v>443</v>
      </c>
      <c r="D8" s="81" t="s">
        <v>164</v>
      </c>
    </row>
    <row r="9" spans="1:4" ht="22.5">
      <c r="A9" s="88" t="s">
        <v>429</v>
      </c>
      <c r="B9" s="81" t="s">
        <v>466</v>
      </c>
      <c r="C9" s="81" t="s">
        <v>443</v>
      </c>
      <c r="D9" s="81" t="s">
        <v>379</v>
      </c>
    </row>
    <row r="10" spans="1:4" ht="22.5">
      <c r="A10" s="88" t="s">
        <v>424</v>
      </c>
      <c r="B10" s="81" t="s">
        <v>466</v>
      </c>
      <c r="C10" s="81" t="s">
        <v>443</v>
      </c>
      <c r="D10" s="81" t="s">
        <v>163</v>
      </c>
    </row>
    <row r="11" spans="1:4" ht="22.5">
      <c r="A11" s="88" t="s">
        <v>428</v>
      </c>
      <c r="B11" s="81" t="s">
        <v>466</v>
      </c>
      <c r="C11" s="81" t="s">
        <v>443</v>
      </c>
      <c r="D11" s="81" t="s">
        <v>162</v>
      </c>
    </row>
    <row r="12" spans="1:4" ht="22.5">
      <c r="A12" s="88" t="s">
        <v>430</v>
      </c>
      <c r="B12" s="81" t="s">
        <v>466</v>
      </c>
      <c r="C12" s="81" t="s">
        <v>443</v>
      </c>
      <c r="D12" s="81" t="s">
        <v>380</v>
      </c>
    </row>
    <row r="13" spans="1:4" ht="22.5">
      <c r="A13" s="88" t="s">
        <v>431</v>
      </c>
      <c r="B13" s="81" t="s">
        <v>466</v>
      </c>
      <c r="C13" s="81" t="s">
        <v>443</v>
      </c>
      <c r="D13" s="81" t="s">
        <v>381</v>
      </c>
    </row>
    <row r="14" spans="1:4" ht="22.5">
      <c r="A14" s="88" t="s">
        <v>425</v>
      </c>
      <c r="B14" s="81" t="s">
        <v>466</v>
      </c>
      <c r="C14" s="81" t="s">
        <v>443</v>
      </c>
      <c r="D14" s="81" t="s">
        <v>156</v>
      </c>
    </row>
    <row r="15" spans="1:4" ht="22.5">
      <c r="A15" s="88" t="s">
        <v>387</v>
      </c>
      <c r="B15" s="81" t="s">
        <v>465</v>
      </c>
      <c r="C15" s="81" t="s">
        <v>442</v>
      </c>
      <c r="D15" s="81" t="s">
        <v>169</v>
      </c>
    </row>
    <row r="16" spans="1:4" ht="22.5">
      <c r="A16" s="88" t="s">
        <v>388</v>
      </c>
      <c r="B16" s="81" t="s">
        <v>465</v>
      </c>
      <c r="C16" s="81" t="s">
        <v>442</v>
      </c>
      <c r="D16" s="81" t="s">
        <v>168</v>
      </c>
    </row>
    <row r="17" spans="1:4" ht="22.5">
      <c r="A17" s="88" t="s">
        <v>389</v>
      </c>
      <c r="B17" s="81" t="s">
        <v>465</v>
      </c>
      <c r="C17" s="81" t="s">
        <v>442</v>
      </c>
      <c r="D17" s="81" t="s">
        <v>167</v>
      </c>
    </row>
    <row r="18" spans="1:4" ht="22.5">
      <c r="A18" s="88" t="s">
        <v>414</v>
      </c>
      <c r="B18" s="81" t="s">
        <v>466</v>
      </c>
      <c r="C18" s="81" t="s">
        <v>442</v>
      </c>
      <c r="D18" s="81" t="s">
        <v>166</v>
      </c>
    </row>
    <row r="19" spans="1:4" ht="22.5">
      <c r="A19" s="88" t="s">
        <v>417</v>
      </c>
      <c r="B19" s="81" t="s">
        <v>466</v>
      </c>
      <c r="C19" s="81" t="s">
        <v>442</v>
      </c>
      <c r="D19" s="81" t="s">
        <v>165</v>
      </c>
    </row>
    <row r="20" spans="1:4" ht="22.5">
      <c r="A20" s="88" t="s">
        <v>418</v>
      </c>
      <c r="B20" s="81" t="s">
        <v>466</v>
      </c>
      <c r="C20" s="81" t="s">
        <v>442</v>
      </c>
      <c r="D20" s="81" t="s">
        <v>164</v>
      </c>
    </row>
    <row r="21" spans="1:4" ht="22.5">
      <c r="A21" s="88" t="s">
        <v>420</v>
      </c>
      <c r="B21" s="81" t="s">
        <v>466</v>
      </c>
      <c r="C21" s="81" t="s">
        <v>442</v>
      </c>
      <c r="D21" s="81" t="s">
        <v>379</v>
      </c>
    </row>
    <row r="22" spans="1:4" ht="22.5">
      <c r="A22" s="88" t="s">
        <v>415</v>
      </c>
      <c r="B22" s="81" t="s">
        <v>466</v>
      </c>
      <c r="C22" s="81" t="s">
        <v>442</v>
      </c>
      <c r="D22" s="81" t="s">
        <v>163</v>
      </c>
    </row>
    <row r="23" spans="1:4" ht="22.5">
      <c r="A23" s="88" t="s">
        <v>419</v>
      </c>
      <c r="B23" s="81" t="s">
        <v>466</v>
      </c>
      <c r="C23" s="81" t="s">
        <v>442</v>
      </c>
      <c r="D23" s="81" t="s">
        <v>162</v>
      </c>
    </row>
    <row r="24" spans="1:4" ht="22.5">
      <c r="A24" s="88" t="s">
        <v>421</v>
      </c>
      <c r="B24" s="81" t="s">
        <v>466</v>
      </c>
      <c r="C24" s="81" t="s">
        <v>442</v>
      </c>
      <c r="D24" s="81" t="s">
        <v>380</v>
      </c>
    </row>
    <row r="25" spans="1:4" ht="22.5">
      <c r="A25" s="88" t="s">
        <v>422</v>
      </c>
      <c r="B25" s="81" t="s">
        <v>466</v>
      </c>
      <c r="C25" s="81" t="s">
        <v>442</v>
      </c>
      <c r="D25" s="81" t="s">
        <v>381</v>
      </c>
    </row>
    <row r="26" spans="1:4" ht="22.5">
      <c r="A26" s="88" t="s">
        <v>416</v>
      </c>
      <c r="B26" s="81" t="s">
        <v>466</v>
      </c>
      <c r="C26" s="81" t="s">
        <v>442</v>
      </c>
      <c r="D26" s="81" t="s">
        <v>156</v>
      </c>
    </row>
    <row r="27" spans="1:4" ht="22.5">
      <c r="A27" s="88" t="s">
        <v>393</v>
      </c>
      <c r="B27" s="81" t="s">
        <v>465</v>
      </c>
      <c r="C27" s="81" t="s">
        <v>444</v>
      </c>
      <c r="D27" s="81" t="s">
        <v>169</v>
      </c>
    </row>
    <row r="28" spans="1:4" ht="22.5">
      <c r="A28" s="88" t="s">
        <v>394</v>
      </c>
      <c r="B28" s="81" t="s">
        <v>465</v>
      </c>
      <c r="C28" s="81" t="s">
        <v>444</v>
      </c>
      <c r="D28" s="81" t="s">
        <v>168</v>
      </c>
    </row>
    <row r="29" spans="1:4" ht="22.5">
      <c r="A29" s="88" t="s">
        <v>395</v>
      </c>
      <c r="B29" s="81" t="s">
        <v>465</v>
      </c>
      <c r="C29" s="81" t="s">
        <v>444</v>
      </c>
      <c r="D29" s="81" t="s">
        <v>167</v>
      </c>
    </row>
    <row r="30" spans="1:4" ht="22.5">
      <c r="A30" s="88" t="s">
        <v>432</v>
      </c>
      <c r="B30" s="81" t="s">
        <v>466</v>
      </c>
      <c r="C30" s="81" t="s">
        <v>444</v>
      </c>
      <c r="D30" s="81" t="s">
        <v>166</v>
      </c>
    </row>
    <row r="31" spans="1:4" ht="22.5">
      <c r="A31" s="88" t="s">
        <v>435</v>
      </c>
      <c r="B31" s="81" t="s">
        <v>466</v>
      </c>
      <c r="C31" s="81" t="s">
        <v>444</v>
      </c>
      <c r="D31" s="81" t="s">
        <v>165</v>
      </c>
    </row>
    <row r="32" spans="1:4" ht="22.5">
      <c r="A32" s="88" t="s">
        <v>436</v>
      </c>
      <c r="B32" s="81" t="s">
        <v>466</v>
      </c>
      <c r="C32" s="81" t="s">
        <v>444</v>
      </c>
      <c r="D32" s="81" t="s">
        <v>164</v>
      </c>
    </row>
    <row r="33" spans="1:4" ht="22.5">
      <c r="A33" s="88" t="s">
        <v>438</v>
      </c>
      <c r="B33" s="81" t="s">
        <v>466</v>
      </c>
      <c r="C33" s="81" t="s">
        <v>444</v>
      </c>
      <c r="D33" s="81" t="s">
        <v>379</v>
      </c>
    </row>
    <row r="34" spans="1:4" ht="22.5">
      <c r="A34" s="88" t="s">
        <v>433</v>
      </c>
      <c r="B34" s="81" t="s">
        <v>466</v>
      </c>
      <c r="C34" s="81" t="s">
        <v>444</v>
      </c>
      <c r="D34" s="81" t="s">
        <v>163</v>
      </c>
    </row>
    <row r="35" spans="1:4" ht="22.5">
      <c r="A35" s="88" t="s">
        <v>437</v>
      </c>
      <c r="B35" s="81" t="s">
        <v>466</v>
      </c>
      <c r="C35" s="81" t="s">
        <v>444</v>
      </c>
      <c r="D35" s="81" t="s">
        <v>162</v>
      </c>
    </row>
    <row r="36" spans="1:4" ht="22.5">
      <c r="A36" s="88" t="s">
        <v>439</v>
      </c>
      <c r="B36" s="81" t="s">
        <v>466</v>
      </c>
      <c r="C36" s="81" t="s">
        <v>444</v>
      </c>
      <c r="D36" s="81" t="s">
        <v>380</v>
      </c>
    </row>
    <row r="37" spans="1:4" ht="22.5">
      <c r="A37" s="88" t="s">
        <v>440</v>
      </c>
      <c r="B37" s="81" t="s">
        <v>466</v>
      </c>
      <c r="C37" s="81" t="s">
        <v>444</v>
      </c>
      <c r="D37" s="81" t="s">
        <v>381</v>
      </c>
    </row>
    <row r="38" spans="1:4" ht="22.5">
      <c r="A38" s="88" t="s">
        <v>434</v>
      </c>
      <c r="B38" s="81" t="s">
        <v>466</v>
      </c>
      <c r="C38" s="81" t="s">
        <v>444</v>
      </c>
      <c r="D38" s="81" t="s">
        <v>156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 Source Heat Pump and Central Air Conditioner Efficiency Upgrades with PTCS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2003-01-17T19:52:57Z</dcterms:modified>
  <cp:category/>
  <cp:version/>
  <cp:contentType/>
  <cp:contentStatus/>
</cp:coreProperties>
</file>