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45" windowWidth="12120" windowHeight="7965" activeTab="0"/>
  </bookViews>
  <sheets>
    <sheet name="MeasureTable" sheetId="1" r:id="rId1"/>
    <sheet name="ProData" sheetId="2" r:id="rId2"/>
    <sheet name="CFLs" sheetId="3" r:id="rId3"/>
    <sheet name="Bulb Assumptions" sheetId="4" r:id="rId4"/>
    <sheet name="Res Lighting Fixtures and Use" sheetId="5" r:id="rId5"/>
    <sheet name="CFL Data" sheetId="6" r:id="rId6"/>
    <sheet name="Space Conditioning Interaction" sheetId="7" r:id="rId7"/>
    <sheet name=" Existing SphtSysType PNRES" sheetId="8" r:id="rId8"/>
    <sheet name="Sales Wght Avg SEER by Vintage " sheetId="9" r:id="rId9"/>
  </sheets>
  <externalReferences>
    <externalReference r:id="rId12"/>
    <externalReference r:id="rId13"/>
    <externalReference r:id="rId14"/>
  </externalReferences>
  <definedNames>
    <definedName name="_Key1" hidden="1">#REF!</definedName>
    <definedName name="_Order1" hidden="1">255</definedName>
    <definedName name="_Sort" hidden="1">#REF!</definedName>
    <definedName name="AdminRate">'ProData'!$B$19</definedName>
    <definedName name="Alloc_File">#REF!</definedName>
    <definedName name="BulkLossFac">'ProData'!$B$13</definedName>
    <definedName name="BulkTDCred">'ProData'!$B$14</definedName>
    <definedName name="CECred">'ProData'!$B$18</definedName>
    <definedName name="Chk1">'ProData'!$E$8</definedName>
    <definedName name="Chk10">'ProData'!$E$17</definedName>
    <definedName name="Chk2">'ProData'!$E$9</definedName>
    <definedName name="Chk3">'ProData'!$E$10</definedName>
    <definedName name="Chk4">'ProData'!$E$11</definedName>
    <definedName name="Chk5">'ProData'!$E$12</definedName>
    <definedName name="Chk6">'ProData'!$E$13</definedName>
    <definedName name="Chk7">'ProData'!$E$14</definedName>
    <definedName name="Chk8">'ProData'!$E$15</definedName>
    <definedName name="Chk9">'ProData'!$E$16</definedName>
    <definedName name="COC1">'ProData'!$F$3</definedName>
    <definedName name="COC2">'ProData'!$G$3</definedName>
    <definedName name="COC3">'ProData'!$H$3</definedName>
    <definedName name="COC4">'ProData'!$I$3</definedName>
    <definedName name="CostRefYr">'ProData'!$B$5</definedName>
    <definedName name="COV">'ProData'!$B$20</definedName>
    <definedName name="Disc1">'ProData'!$F$3</definedName>
    <definedName name="Disc2">'ProData'!$G$3</definedName>
    <definedName name="Disc3">'ProData'!$H$3</definedName>
    <definedName name="Disc4">'ProData'!$I$3</definedName>
    <definedName name="DoTab1">'ProData'!$D$8</definedName>
    <definedName name="DoTab10">'ProData'!$D$17</definedName>
    <definedName name="DoTab2">'ProData'!$D$9</definedName>
    <definedName name="DoTab3">'ProData'!$D$10</definedName>
    <definedName name="DoTab4">'ProData'!$D$11</definedName>
    <definedName name="DoTab5">'ProData'!$D$12</definedName>
    <definedName name="DoTab6">'ProData'!$D$13</definedName>
    <definedName name="DoTab7">'ProData'!$D$14</definedName>
    <definedName name="DoTab8">'ProData'!$D$15</definedName>
    <definedName name="DoTab9">'ProData'!$D$16</definedName>
    <definedName name="DoTabData">'ProData'!$D$8:$D$17</definedName>
    <definedName name="ExtCred">'ProData'!$B$17</definedName>
    <definedName name="FinL1">'ProData'!$F$4</definedName>
    <definedName name="FinL2">'ProData'!$G$4</definedName>
    <definedName name="FinL3">'ProData'!$H$4</definedName>
    <definedName name="FinL4">'ProData'!$I$4</definedName>
    <definedName name="Inflation">'ProData'!$B$7</definedName>
    <definedName name="InService">'ProData'!$B$3</definedName>
    <definedName name="Inst_1">'ProData'!$B$9</definedName>
    <definedName name="Inst_2">'ProData'!$B$10</definedName>
    <definedName name="Inst_3">'ProData'!$B$10</definedName>
    <definedName name="Inst_4">'ProData'!$B$10</definedName>
    <definedName name="LastOMYr">'ProData'!$B$12</definedName>
    <definedName name="LocalLossFac">'ProData'!$B$15</definedName>
    <definedName name="LocalTDCred">'ProData'!$B$16</definedName>
    <definedName name="LossFac">'ProData'!$B$13</definedName>
    <definedName name="MargCostTab">'ProData'!$B$22</definedName>
    <definedName name="MC_File">#REF!</definedName>
    <definedName name="MCSSDataFile">'ProData'!$B$21</definedName>
    <definedName name="OMShr1">'ProData'!$B$11</definedName>
    <definedName name="PC_Main">[0]!PC_Main</definedName>
    <definedName name="_xlnm.Print_Area" localSheetId="7">' Existing SphtSysType PNRES'!$A$74:$G$89</definedName>
    <definedName name="_xlnm.Print_Area" localSheetId="3">'Bulb Assumptions'!#REF!</definedName>
    <definedName name="Prog_Life">'ProData'!$B$2</definedName>
    <definedName name="PVTZero">'ProData'!$B$4</definedName>
    <definedName name="Real_Disc">'ProData'!$B$6</definedName>
    <definedName name="Real_Escl">'ProData'!$B$8</definedName>
    <definedName name="ResetFlag">'ProData'!$F$7</definedName>
    <definedName name="SaveShapeTab">'ProData'!$B$23</definedName>
    <definedName name="Share1">'ProData'!$F$5</definedName>
    <definedName name="Share2">'ProData'!$G$5</definedName>
    <definedName name="Share3">'ProData'!$H$5</definedName>
    <definedName name="SponNam1">'ProData'!$F$2</definedName>
    <definedName name="SponNam2">'ProData'!$G$2</definedName>
    <definedName name="SponNam3">'ProData'!$H$2</definedName>
    <definedName name="SponNam4">'ProData'!$I$2</definedName>
    <definedName name="TabData">'ProData'!$D$8:$D$16</definedName>
    <definedName name="TDCred">'ProData'!$B$14</definedName>
  </definedNames>
  <calcPr fullCalcOnLoad="1"/>
</workbook>
</file>

<file path=xl/comments1.xml><?xml version="1.0" encoding="utf-8"?>
<comments xmlns="http://schemas.openxmlformats.org/spreadsheetml/2006/main">
  <authors>
    <author>Tom Eckman</author>
  </authors>
  <commentList>
    <comment ref="X3" authorId="0">
      <text>
        <r>
          <rPr>
            <b/>
            <sz val="8"/>
            <rFont val="Tahoma"/>
            <family val="0"/>
          </rPr>
          <t>Tom Eckman:</t>
        </r>
        <r>
          <rPr>
            <sz val="8"/>
            <rFont val="Tahoma"/>
            <family val="0"/>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8"/>
            <rFont val="Tahoma"/>
            <family val="0"/>
          </rPr>
          <t>Tom Eckman:</t>
        </r>
        <r>
          <rPr>
            <sz val="8"/>
            <rFont val="Tahoma"/>
            <family val="0"/>
          </rPr>
          <t xml:space="preserve">
Reduction in local distribution system peak load resulting from installation of technology, measure or practice</t>
        </r>
      </text>
    </comment>
    <comment ref="Z3" authorId="0">
      <text>
        <r>
          <rPr>
            <b/>
            <sz val="8"/>
            <rFont val="Tahoma"/>
            <family val="0"/>
          </rPr>
          <t>Tom Eckman:</t>
        </r>
        <r>
          <rPr>
            <sz val="8"/>
            <rFont val="Tahoma"/>
            <family val="0"/>
          </rPr>
          <t xml:space="preserve">
Present value cost of deferred capital expenditures for local distribution system</t>
        </r>
      </text>
    </comment>
    <comment ref="AA3" authorId="0">
      <text>
        <r>
          <rPr>
            <b/>
            <sz val="8"/>
            <rFont val="Tahoma"/>
            <family val="0"/>
          </rPr>
          <t>Tom Eckman:</t>
        </r>
        <r>
          <rPr>
            <sz val="8"/>
            <rFont val="Tahoma"/>
            <family val="0"/>
          </rPr>
          <t xml:space="preserve">
Qualitative or quantitative estimate of end-user benefits, excluding electricity savings, e.g. gallons of water saved.</t>
        </r>
      </text>
    </comment>
    <comment ref="AB3" authorId="0">
      <text>
        <r>
          <rPr>
            <b/>
            <sz val="8"/>
            <rFont val="Tahoma"/>
            <family val="0"/>
          </rPr>
          <t>Tom Eckman:</t>
        </r>
        <r>
          <rPr>
            <sz val="8"/>
            <rFont val="Tahoma"/>
            <family val="0"/>
          </rPr>
          <t xml:space="preserve">
Qualitative or quantitative estimate of any non-electric power system benefits associated with the technology, measure or practice, e.g. reduced wastewater treatment costs.</t>
        </r>
      </text>
    </comment>
    <comment ref="AD3" authorId="0">
      <text>
        <r>
          <rPr>
            <b/>
            <sz val="8"/>
            <rFont val="Tahoma"/>
            <family val="0"/>
          </rPr>
          <t>Tom Eckman:</t>
        </r>
        <r>
          <rPr>
            <sz val="8"/>
            <rFont val="Tahoma"/>
            <family val="0"/>
          </rPr>
          <t xml:space="preserve">
Present value of cost of carbon emissions, based on $15/ton.</t>
        </r>
      </text>
    </comment>
    <comment ref="AE3" authorId="0">
      <text>
        <r>
          <rPr>
            <b/>
            <sz val="8"/>
            <rFont val="Tahoma"/>
            <family val="0"/>
          </rPr>
          <t>Tom Eckman:</t>
        </r>
        <r>
          <rPr>
            <sz val="8"/>
            <rFont val="Tahoma"/>
            <family val="0"/>
          </rPr>
          <t xml:space="preserve">
Total present value of all cost associated with the installation and maintenance of the technology, measure or practice over its expected life.</t>
        </r>
      </text>
    </comment>
    <comment ref="AG3" authorId="0">
      <text>
        <r>
          <rPr>
            <b/>
            <sz val="8"/>
            <rFont val="Tahoma"/>
            <family val="0"/>
          </rPr>
          <t>Tom Eckman:</t>
        </r>
        <r>
          <rPr>
            <sz val="8"/>
            <rFont val="Tahoma"/>
            <family val="0"/>
          </rPr>
          <t xml:space="preserve">
Present value of all benefits associated with a technology, measure or practice, including non-power system benefits and environmental externalities benefits.</t>
        </r>
      </text>
    </comment>
    <comment ref="AH3" authorId="0">
      <text>
        <r>
          <rPr>
            <b/>
            <sz val="8"/>
            <rFont val="Tahoma"/>
            <family val="0"/>
          </rPr>
          <t>Tom Eckman:</t>
        </r>
        <r>
          <rPr>
            <sz val="8"/>
            <rFont val="Tahoma"/>
            <family val="0"/>
          </rPr>
          <t xml:space="preserve">
Ratio of present value of total societal benefits to total societal costs of technology, measure or practice.</t>
        </r>
      </text>
    </comment>
    <comment ref="AI3" authorId="0">
      <text>
        <r>
          <rPr>
            <b/>
            <sz val="8"/>
            <rFont val="Tahoma"/>
            <family val="0"/>
          </rPr>
          <t>Tom Eckman:</t>
        </r>
        <r>
          <rPr>
            <sz val="8"/>
            <rFont val="Tahoma"/>
            <family val="0"/>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AC3" authorId="0">
      <text>
        <r>
          <rPr>
            <b/>
            <sz val="8"/>
            <rFont val="Tahoma"/>
            <family val="2"/>
          </rPr>
          <t>Tom Eckman:</t>
        </r>
        <r>
          <rPr>
            <sz val="8"/>
            <rFont val="Tahoma"/>
            <family val="2"/>
          </rPr>
          <t xml:space="preserve">
Present value of any monetized non-electric power system benefits, e.g. reduced detergent costs.</t>
        </r>
      </text>
    </commen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G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J3" authorId="0">
      <text>
        <r>
          <rPr>
            <b/>
            <sz val="10"/>
            <rFont val="Tahoma"/>
            <family val="2"/>
          </rPr>
          <t>Tom Eckman:</t>
        </r>
        <r>
          <rPr>
            <sz val="10"/>
            <rFont val="Tahoma"/>
            <family val="2"/>
          </rPr>
          <t xml:space="preserve">
Does not include transmission and distribution system line losses.</t>
        </r>
      </text>
    </comment>
    <comment ref="K3" authorId="0">
      <text>
        <r>
          <rPr>
            <b/>
            <sz val="10"/>
            <rFont val="Tahoma"/>
            <family val="2"/>
          </rPr>
          <t>Tom Eckman:</t>
        </r>
        <r>
          <rPr>
            <sz val="10"/>
            <rFont val="Tahoma"/>
            <family val="2"/>
          </rPr>
          <t xml:space="preserve">
Includes transmission and distribution system line losses.</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Q3" authorId="0">
      <text>
        <r>
          <rPr>
            <b/>
            <sz val="8"/>
            <rFont val="Tahoma"/>
            <family val="0"/>
          </rPr>
          <t>Tom Eckman:</t>
        </r>
        <r>
          <rPr>
            <sz val="8"/>
            <rFont val="Tahoma"/>
            <family val="0"/>
          </rPr>
          <t xml:space="preserve">
Sum of PV Incremental cost and incremental O&amp;M cost.</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List>
</comments>
</file>

<file path=xl/comments2.xml><?xml version="1.0" encoding="utf-8"?>
<comments xmlns="http://schemas.openxmlformats.org/spreadsheetml/2006/main">
  <authors>
    <author>A satisfied Microsoft Office user</author>
  </authors>
  <commentList>
    <comment ref="B7" authorId="0">
      <text>
        <r>
          <rPr>
            <sz val="8"/>
            <rFont val="Tahoma"/>
            <family val="0"/>
          </rPr>
          <t>Currently not used, Hardwired in code to zero until chance to fully implement.</t>
        </r>
      </text>
    </comment>
  </commentList>
</comments>
</file>

<file path=xl/comments4.xml><?xml version="1.0" encoding="utf-8"?>
<comments xmlns="http://schemas.openxmlformats.org/spreadsheetml/2006/main">
  <authors>
    <author>A satisfied Microsoft Office user</author>
  </authors>
  <commentList>
    <comment ref="A11" authorId="0">
      <text>
        <r>
          <rPr>
            <sz val="6"/>
            <rFont val="Tahoma"/>
            <family val="0"/>
          </rPr>
          <t>From NW Conservation and Electric Power Plan</t>
        </r>
      </text>
    </comment>
    <comment ref="A12" authorId="0">
      <text>
        <r>
          <rPr>
            <sz val="6"/>
            <rFont val="Tahoma"/>
            <family val="0"/>
          </rPr>
          <t>From NW Conservation and Electric Power Plan</t>
        </r>
      </text>
    </comment>
    <comment ref="A16" authorId="0">
      <text>
        <r>
          <rPr>
            <sz val="6"/>
            <rFont val="Tahoma"/>
            <family val="0"/>
          </rPr>
          <t>From NW Conservation and Electric Power Plan</t>
        </r>
      </text>
    </comment>
    <comment ref="A17" authorId="0">
      <text>
        <r>
          <rPr>
            <sz val="6"/>
            <rFont val="Tahoma"/>
            <family val="0"/>
          </rPr>
          <t>Assumed utility rebate to mfg without admin.</t>
        </r>
      </text>
    </comment>
    <comment ref="A10" authorId="0">
      <text>
        <r>
          <rPr>
            <sz val="6"/>
            <rFont val="Tahoma"/>
            <family val="0"/>
          </rPr>
          <t>From previous LightWise activities.</t>
        </r>
      </text>
    </comment>
    <comment ref="A18" authorId="0">
      <text>
        <r>
          <rPr>
            <sz val="6"/>
            <rFont val="Tahoma"/>
            <family val="0"/>
          </rPr>
          <t>From NW Conservation and Electric Power Plan</t>
        </r>
      </text>
    </comment>
    <comment ref="A19" authorId="0">
      <text>
        <r>
          <rPr>
            <sz val="6"/>
            <rFont val="Tahoma"/>
            <family val="0"/>
          </rPr>
          <t>From NW Conservation and Electric Power Plan</t>
        </r>
      </text>
    </comment>
    <comment ref="A20" authorId="0">
      <text>
        <r>
          <rPr>
            <sz val="6"/>
            <rFont val="Tahoma"/>
            <family val="0"/>
          </rPr>
          <t>From Space Conditioning Interaction Tab</t>
        </r>
      </text>
    </comment>
    <comment ref="A21" authorId="0">
      <text>
        <r>
          <rPr>
            <sz val="6"/>
            <rFont val="Tahoma"/>
            <family val="0"/>
          </rPr>
          <t>From NW Conservation and Electric Power Plan</t>
        </r>
      </text>
    </comment>
    <comment ref="A22" authorId="0">
      <text>
        <r>
          <rPr>
            <sz val="6"/>
            <rFont val="Tahoma"/>
            <family val="0"/>
          </rPr>
          <t>Assumes incandescents last 750 hours.</t>
        </r>
      </text>
    </comment>
    <comment ref="A23" authorId="0">
      <text>
        <r>
          <rPr>
            <sz val="6"/>
            <rFont val="Tahoma"/>
            <family val="0"/>
          </rPr>
          <t xml:space="preserve">Takeback is included in the calculation of utility levelized cost, but not in the total resource cost.  </t>
        </r>
      </text>
    </comment>
    <comment ref="A24" authorId="0">
      <text>
        <r>
          <rPr>
            <sz val="6"/>
            <rFont val="Tahoma"/>
            <family val="0"/>
          </rPr>
          <t xml:space="preserve">Takeback is not included in the total resouce cost calculation, but is used in the utility cost calculation.  </t>
        </r>
      </text>
    </comment>
  </commentList>
</comments>
</file>

<file path=xl/comments5.xml><?xml version="1.0" encoding="utf-8"?>
<comments xmlns="http://schemas.openxmlformats.org/spreadsheetml/2006/main">
  <authors>
    <author>A satisfied Microsoft Office user</author>
  </authors>
  <commentList>
    <comment ref="K37" authorId="0">
      <text>
        <r>
          <rPr>
            <sz val="6"/>
            <rFont val="Tahoma"/>
            <family val="0"/>
          </rPr>
          <t>From NW Conservation and Electric Power Plan</t>
        </r>
      </text>
    </comment>
    <comment ref="K38" authorId="0">
      <text>
        <r>
          <rPr>
            <sz val="6"/>
            <rFont val="Tahoma"/>
            <family val="0"/>
          </rPr>
          <t>From NW Conservation and Electric Power Plan</t>
        </r>
      </text>
    </comment>
    <comment ref="K39" authorId="0">
      <text>
        <r>
          <rPr>
            <sz val="6"/>
            <rFont val="Tahoma"/>
            <family val="0"/>
          </rPr>
          <t>From Space Conditioning Interaction Tab</t>
        </r>
      </text>
    </comment>
    <comment ref="K42" authorId="0">
      <text>
        <r>
          <rPr>
            <sz val="6"/>
            <rFont val="Tahoma"/>
            <family val="0"/>
          </rPr>
          <t xml:space="preserve">Takeback is included in the calculation of utility levelized cost, but not in the total resource cost.  </t>
        </r>
      </text>
    </comment>
    <comment ref="K43" authorId="0">
      <text>
        <r>
          <rPr>
            <sz val="6"/>
            <rFont val="Tahoma"/>
            <family val="0"/>
          </rPr>
          <t xml:space="preserve">Takeback is not included in the total resouce cost calculation, but is used in the utility cost calculation.  </t>
        </r>
      </text>
    </comment>
  </commentList>
</comments>
</file>

<file path=xl/comments7.xml><?xml version="1.0" encoding="utf-8"?>
<comments xmlns="http://schemas.openxmlformats.org/spreadsheetml/2006/main">
  <authors>
    <author>Tom Eckman</author>
  </authors>
  <commentList>
    <comment ref="D6" authorId="0">
      <text>
        <r>
          <rPr>
            <b/>
            <sz val="8"/>
            <rFont val="Tahoma"/>
            <family val="0"/>
          </rPr>
          <t>Tom Eckman:</t>
        </r>
        <r>
          <rPr>
            <sz val="8"/>
            <rFont val="Tahoma"/>
            <family val="0"/>
          </rPr>
          <t xml:space="preserve">
Stock Average HSPF in 2025 Assumed to Equal 2007 Federal Standard (7.7) adjusted for PNW Climates and duct system efficiency</t>
        </r>
      </text>
    </comment>
    <comment ref="A10" authorId="0">
      <text>
        <r>
          <rPr>
            <b/>
            <sz val="8"/>
            <rFont val="Tahoma"/>
            <family val="0"/>
          </rPr>
          <t>Tom Eckman:</t>
        </r>
        <r>
          <rPr>
            <sz val="8"/>
            <rFont val="Tahoma"/>
            <family val="0"/>
          </rPr>
          <t xml:space="preserve">
Stock Average cooling SEER in 2025 assumed to be equal to 2007 federal standard (12) adjusted for PNW climates and duct system efficiency</t>
        </r>
      </text>
    </comment>
  </commentList>
</comments>
</file>

<file path=xl/comments8.xml><?xml version="1.0" encoding="utf-8"?>
<comments xmlns="http://schemas.openxmlformats.org/spreadsheetml/2006/main">
  <authors>
    <author>Tom Eckman</author>
  </authors>
  <commentList>
    <comment ref="C79" authorId="0">
      <text>
        <r>
          <rPr>
            <b/>
            <sz val="8"/>
            <rFont val="Tahoma"/>
            <family val="0"/>
          </rPr>
          <t>Tom Eckman:</t>
        </r>
        <r>
          <rPr>
            <sz val="8"/>
            <rFont val="Tahoma"/>
            <family val="0"/>
          </rPr>
          <t xml:space="preserve">
Based on Xnergy baseline data from phone survey
</t>
        </r>
      </text>
    </comment>
    <comment ref="C80" authorId="0">
      <text>
        <r>
          <rPr>
            <b/>
            <sz val="8"/>
            <rFont val="Tahoma"/>
            <family val="0"/>
          </rPr>
          <t>Tom Eckman:</t>
        </r>
        <r>
          <rPr>
            <sz val="8"/>
            <rFont val="Tahoma"/>
            <family val="0"/>
          </rPr>
          <t xml:space="preserve">
Based on PSE &amp; PGE pilot ratio of site visits to completed duct sealing jobs</t>
        </r>
      </text>
    </comment>
  </commentList>
</comments>
</file>

<file path=xl/sharedStrings.xml><?xml version="1.0" encoding="utf-8"?>
<sst xmlns="http://schemas.openxmlformats.org/spreadsheetml/2006/main" count="789" uniqueCount="487">
  <si>
    <t>Electric Marginal Cost Tab</t>
  </si>
  <si>
    <t>Program Parameters</t>
  </si>
  <si>
    <t>Sponsor Parameters</t>
  </si>
  <si>
    <t>Program Life (yrs)</t>
  </si>
  <si>
    <t>Cust</t>
  </si>
  <si>
    <t>Program Start Date</t>
  </si>
  <si>
    <t>Real AT Cost of Cap</t>
  </si>
  <si>
    <t>Present Value Time Zero</t>
  </si>
  <si>
    <t>Financial Life (yrs)</t>
  </si>
  <si>
    <t>Cost Reference Yr</t>
  </si>
  <si>
    <t>Real Discount Rate</t>
  </si>
  <si>
    <t>Inflation Rate (Currently NA)</t>
  </si>
  <si>
    <t>Run Tabs:</t>
  </si>
  <si>
    <t>Capital Real Escalation Rt</t>
  </si>
  <si>
    <t>Externalities Credit (m/kwh)</t>
  </si>
  <si>
    <t>Regional Act C/E Credit (%)</t>
  </si>
  <si>
    <t>Admin Cost (% of First Cost)</t>
  </si>
  <si>
    <t>Cost Coeff of Variation</t>
  </si>
  <si>
    <t>Marg Cost / Save Shape File</t>
  </si>
  <si>
    <t>Savings Shape Tab</t>
  </si>
  <si>
    <t>Spon 1</t>
  </si>
  <si>
    <t>Spon 2</t>
  </si>
  <si>
    <t>Spon 3</t>
  </si>
  <si>
    <t>Weight</t>
  </si>
  <si>
    <t xml:space="preserve">Sponsor Share of First Cost </t>
  </si>
  <si>
    <t xml:space="preserve">Sponsor Share of Replace Cost </t>
  </si>
  <si>
    <t>Sponsor Share of O&amp;M</t>
  </si>
  <si>
    <t>Last Sponsor O&amp;M Yr</t>
  </si>
  <si>
    <t>Bulk Power T&amp;D Credit ($/kw-yr)</t>
  </si>
  <si>
    <t>Bulk Power T&amp;D Loss Factor</t>
  </si>
  <si>
    <t>Local Power T&amp;D Loss Factor</t>
  </si>
  <si>
    <t>Local Power T&amp;D Credit ($/kw-yr)</t>
  </si>
  <si>
    <t>Input Data</t>
  </si>
  <si>
    <t>Periodic O&amp;M</t>
  </si>
  <si>
    <t>Category Name</t>
  </si>
  <si>
    <t>Measure Name</t>
  </si>
  <si>
    <t>Capital Cost ($)</t>
  </si>
  <si>
    <t>Annual O&amp;M ($)</t>
  </si>
  <si>
    <t>Shape Pointer</t>
  </si>
  <si>
    <t>Cost 1 ($)</t>
  </si>
  <si>
    <t xml:space="preserve">Period 1 </t>
  </si>
  <si>
    <t>Cost 2 ($)</t>
  </si>
  <si>
    <t>Period 2</t>
  </si>
  <si>
    <t>Cost 3 ($)</t>
  </si>
  <si>
    <t>Period 3</t>
  </si>
  <si>
    <t>Savings</t>
  </si>
  <si>
    <t>PV Capital</t>
  </si>
  <si>
    <t>PV O&amp;M</t>
  </si>
  <si>
    <t>Total PV Costs</t>
  </si>
  <si>
    <t>Levelized Cost (mills/kwh)</t>
  </si>
  <si>
    <t>PV Benefits</t>
  </si>
  <si>
    <t>Category</t>
  </si>
  <si>
    <t>Measure</t>
  </si>
  <si>
    <t>Utility</t>
  </si>
  <si>
    <t>Non-E Value</t>
  </si>
  <si>
    <t>Exter-nalities</t>
  </si>
  <si>
    <t>Act C-E Credit</t>
  </si>
  <si>
    <t>Total</t>
  </si>
  <si>
    <t>B/C Ratio</t>
  </si>
  <si>
    <t>Busbar Savings</t>
  </si>
  <si>
    <t>PV Cost</t>
  </si>
  <si>
    <t>Levelized Cost</t>
  </si>
  <si>
    <t>Totals for Measures/Categories with Benefits Exceeding Costs</t>
  </si>
  <si>
    <t>Totals Basis</t>
  </si>
  <si>
    <t>First Cost</t>
  </si>
  <si>
    <t>Admin Cost</t>
  </si>
  <si>
    <t>Program Cost</t>
  </si>
  <si>
    <t>Program $/KWa</t>
  </si>
  <si>
    <t>Measures with B/C&gt;1.00</t>
  </si>
  <si>
    <t>Categories with B/C&gt;1.00</t>
  </si>
  <si>
    <t>% of Measures with B/C &gt;1.00</t>
  </si>
  <si>
    <t>Block 1:     x &lt;=10 m/kWh</t>
  </si>
  <si>
    <t>Block 2: 10&lt; x &lt;=20 m/kWh</t>
  </si>
  <si>
    <t>Block 3: 20&lt; x &lt;=30 m/kWh</t>
  </si>
  <si>
    <t>Block 4: 30&lt; x &lt;=40 m/kWh</t>
  </si>
  <si>
    <t>Block 5: 40&lt; x &lt;=50 m/kWh</t>
  </si>
  <si>
    <t>Block 6: 50&lt; x &lt;=60 m/kWh</t>
  </si>
  <si>
    <t xml:space="preserve">Block 7: 60m/kWh &lt; x </t>
  </si>
  <si>
    <t>Measure Input Data</t>
  </si>
  <si>
    <t>PV Bulk Power System Benefits</t>
  </si>
  <si>
    <t>PV Regional Benefits</t>
  </si>
  <si>
    <t>Measure Life</t>
  </si>
  <si>
    <t>Site Savings (kWh)</t>
  </si>
  <si>
    <t>Capital Cost ($/unit)</t>
  </si>
  <si>
    <t>Annual O&amp;M Cost ($/unit)</t>
  </si>
  <si>
    <t>Per. Repl. Cost ($/unit)</t>
  </si>
  <si>
    <t>Load Shape</t>
  </si>
  <si>
    <t>Div. Load Factor</t>
  </si>
  <si>
    <t>Bulk Pwr Coin. Factor</t>
  </si>
  <si>
    <t>Bulk Energy (kWh)</t>
  </si>
  <si>
    <t>Bulk Demand (kw)</t>
  </si>
  <si>
    <t>Local Demand (kW)</t>
  </si>
  <si>
    <t>Energy</t>
  </si>
  <si>
    <t>Bulk T&amp;D Def. Cap.</t>
  </si>
  <si>
    <t>Total System Benefit</t>
  </si>
  <si>
    <t>Total non-Consumer Cost</t>
  </si>
  <si>
    <t>Bulk System B/C Ratio</t>
  </si>
  <si>
    <t>Local T&amp;D Def.Cap.</t>
  </si>
  <si>
    <t>Total Regional Benefit</t>
  </si>
  <si>
    <t>Total Regional Cost</t>
  </si>
  <si>
    <t>Total Regional B/C Ratio</t>
  </si>
  <si>
    <t>Savings Weighted Measure Data</t>
  </si>
  <si>
    <t>PV Costs</t>
  </si>
  <si>
    <t>Lvl Cst</t>
  </si>
  <si>
    <t>Weighted Measure Life</t>
  </si>
  <si>
    <t>Weighted Load Factor</t>
  </si>
  <si>
    <t>Weighted Coinc. Factor</t>
  </si>
  <si>
    <t>PV Annual O&amp;M</t>
  </si>
  <si>
    <t>PV Period. Repl.</t>
  </si>
  <si>
    <t>PV Total Costs</t>
  </si>
  <si>
    <t>Levelized Cost mills/kWh</t>
  </si>
  <si>
    <t>Regional Costs and Bulk Power System Benefits</t>
  </si>
  <si>
    <t>Other Power System Benefits</t>
  </si>
  <si>
    <t>Non-Electric Power Costs/Benefits</t>
  </si>
  <si>
    <t>Total Regional Costs/Benefits (monetizable costs and benefits)</t>
  </si>
  <si>
    <t>Technology, Measure or Practice</t>
  </si>
  <si>
    <t>Delivery Mechanism or Program</t>
  </si>
  <si>
    <t>Application</t>
  </si>
  <si>
    <t>Location</t>
  </si>
  <si>
    <t>Measure Life (years)</t>
  </si>
  <si>
    <t>Annual Savings @ Site (kwh/yr)</t>
  </si>
  <si>
    <t>Annual Savings @ Busbar (kwh/yr)</t>
  </si>
  <si>
    <t>Bulk Transmission System Coincident Factor</t>
  </si>
  <si>
    <t>System Coincident Peak Reduction (KW)</t>
  </si>
  <si>
    <t>Present Value O &amp; M Cost ($/kWh)</t>
  </si>
  <si>
    <t>Total Present Value Cost ($/kWh)</t>
  </si>
  <si>
    <t>Present Value Electric Energy Savings ($/kWh)</t>
  </si>
  <si>
    <t>Data Set Name</t>
  </si>
  <si>
    <t xml:space="preserve">Manufacturer, Dealer or Consumer Rebate </t>
  </si>
  <si>
    <t>Measure Results (2000 $)</t>
  </si>
  <si>
    <t>Category Totals (2000 $)</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</si>
  <si>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</si>
  <si>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</si>
  <si>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</si>
  <si>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</si>
  <si>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</si>
  <si>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</si>
  <si>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</si>
  <si>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Benefits ($/kWh)</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</si>
  <si>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</si>
  <si>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</si>
  <si>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</si>
  <si>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</si>
  <si>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</si>
  <si>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</si>
  <si>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</si>
  <si>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Related Programs/Activities</t>
  </si>
  <si>
    <t>Comments</t>
  </si>
  <si>
    <t>PV Per. Repl. Cost ($/unit)</t>
  </si>
  <si>
    <t>Incremental Capital Cost ($/unit)</t>
  </si>
  <si>
    <t>Incremental O&amp;M Costs and Schedule ($/unit)</t>
  </si>
  <si>
    <t>Present Value of Periodic Capital Replacement Cost ($/unit)</t>
  </si>
  <si>
    <t>Basis of Savings</t>
  </si>
  <si>
    <t>Present Value Incremental Capital Cost ($/kWh)</t>
  </si>
  <si>
    <t>Present Value of Periodic Capital Replacement Cost ($/kWh)</t>
  </si>
  <si>
    <t>Regionwide</t>
  </si>
  <si>
    <t>MeasureTable</t>
  </si>
  <si>
    <t>Conservation Load Shapes</t>
  </si>
  <si>
    <t>Residential Lighting</t>
  </si>
  <si>
    <t>Deemed</t>
  </si>
  <si>
    <t>Reduced operation and maintenance costs due to fewer lamp replacements.</t>
  </si>
  <si>
    <t>Reduced solid waste production from used lamps.</t>
  </si>
  <si>
    <t>CFLs</t>
  </si>
  <si>
    <t>Savings (kwh/yr)</t>
  </si>
  <si>
    <t>Phys Life (yrs)</t>
  </si>
  <si>
    <t>Non-E Val ($/yr)</t>
  </si>
  <si>
    <t>ResLIGHT</t>
  </si>
  <si>
    <t>Entered</t>
  </si>
  <si>
    <t>See cell comments for more information</t>
  </si>
  <si>
    <t>Calculated</t>
  </si>
  <si>
    <t>Used directly on ProCost</t>
  </si>
  <si>
    <t>Calculation of watts displaced</t>
  </si>
  <si>
    <t>Existing Wattage</t>
  </si>
  <si>
    <t>New Wattage</t>
  </si>
  <si>
    <t>Watts Displaced</t>
  </si>
  <si>
    <t>Number of bulbs</t>
  </si>
  <si>
    <t>Sales Weight</t>
  </si>
  <si>
    <t>Sales Weighted Average Watts Displaced</t>
  </si>
  <si>
    <t>Weight*</t>
  </si>
  <si>
    <t>=&gt;</t>
  </si>
  <si>
    <t>Hours On/Day</t>
  </si>
  <si>
    <t>Total:</t>
  </si>
  <si>
    <t>Lifetime (Hours)</t>
  </si>
  <si>
    <t>This information comes from the 3-month previous Lightsaver activities.</t>
  </si>
  <si>
    <t>Out of the 49,520 bulbs from Lightsaver, 47,706 came from Lights of America.</t>
  </si>
  <si>
    <t>Removal</t>
  </si>
  <si>
    <t>Take-back</t>
  </si>
  <si>
    <t>Incandescent bulb cost</t>
  </si>
  <si>
    <t># incand replacmts (at 750 hrs life/bulb)</t>
  </si>
  <si>
    <t>KWh/yr savings w/o takeback (TRC)</t>
  </si>
  <si>
    <t>kWh/yr w/ takeback (Utility)</t>
  </si>
  <si>
    <t>Annual O&amp;M Savings from Avoided Incand.</t>
  </si>
  <si>
    <t>Incand bulb cost over life of CFL</t>
  </si>
  <si>
    <t>Annual O &amp; M Savings</t>
  </si>
  <si>
    <t>Subcompact Flourescent Prices (as of 3/6/00)</t>
  </si>
  <si>
    <t>Source: Lights of America (www.lightsofamerica.com)</t>
  </si>
  <si>
    <t>Model</t>
  </si>
  <si>
    <t>Description</t>
  </si>
  <si>
    <t>Price</t>
  </si>
  <si>
    <t>Lumens</t>
  </si>
  <si>
    <t>Wattage</t>
  </si>
  <si>
    <t>Incd. Equivalent Wattage</t>
  </si>
  <si>
    <t>Life(hrs)</t>
  </si>
  <si>
    <t>Assumed Application</t>
  </si>
  <si>
    <t>2415C</t>
  </si>
  <si>
    <t>Twister - Mid Power Factor</t>
  </si>
  <si>
    <t>Indoor</t>
  </si>
  <si>
    <t>2420C</t>
  </si>
  <si>
    <t>Source: Sunpark (www,sunpkco.com)</t>
  </si>
  <si>
    <t>SP15S</t>
  </si>
  <si>
    <t>Twister - High Power Factor</t>
  </si>
  <si>
    <t>SP20S</t>
  </si>
  <si>
    <t>SP23S</t>
  </si>
  <si>
    <t>Outdoor/Indoor</t>
  </si>
  <si>
    <t>Source: JKRL (www.jkrl.com)</t>
  </si>
  <si>
    <t>YERSB15P</t>
  </si>
  <si>
    <t>YERSB20P</t>
  </si>
  <si>
    <t>YERSB23P</t>
  </si>
  <si>
    <t>YERSB26P</t>
  </si>
  <si>
    <t>User Inputs</t>
  </si>
  <si>
    <t>Space Conditioning Interaction Assumptions</t>
  </si>
  <si>
    <t>FAF</t>
  </si>
  <si>
    <t xml:space="preserve">Zonal </t>
  </si>
  <si>
    <t>Heat Pump</t>
  </si>
  <si>
    <t>Sales Weighted Average</t>
  </si>
  <si>
    <t>Heating System Efficiency</t>
  </si>
  <si>
    <t>Central Cooling System Efficiency***</t>
  </si>
  <si>
    <t>Central Cooling Market Share</t>
  </si>
  <si>
    <t>Space Heating Interaction Calculation</t>
  </si>
  <si>
    <t>Parameter</t>
  </si>
  <si>
    <t>Interior</t>
  </si>
  <si>
    <t>Exterior</t>
  </si>
  <si>
    <t>Weighted Average</t>
  </si>
  <si>
    <t>% Lighting</t>
  </si>
  <si>
    <t>% SpHtInteraction</t>
  </si>
  <si>
    <t>% ElecSpHt Share**</t>
  </si>
  <si>
    <t>% ElecSpCoolShare</t>
  </si>
  <si>
    <t>%SpCoolInteraction****</t>
  </si>
  <si>
    <t>SpHtInteraction (debit)</t>
  </si>
  <si>
    <t>SpCoolInteraction (credit)</t>
  </si>
  <si>
    <t>Weighted Average Interaction</t>
  </si>
  <si>
    <t xml:space="preserve">****Assumes that during cooling months that interior lights are on approximate 15% less than during heating months </t>
  </si>
  <si>
    <t xml:space="preserve">due to increased daylight hours. Based on ratio of average monthly lighting from Jun-Aug </t>
  </si>
  <si>
    <t>compared to average lighting load Jan-May  &amp; Oct-Dec from ELCAP metering.</t>
  </si>
  <si>
    <t>Primary Space Heating System and Equipment</t>
  </si>
  <si>
    <t>Source: 1992 PNW Residential Survey</t>
  </si>
  <si>
    <t>Oregon</t>
  </si>
  <si>
    <t>Washington</t>
  </si>
  <si>
    <t>Idaho</t>
  </si>
  <si>
    <t>W. Montana</t>
  </si>
  <si>
    <t>Region</t>
  </si>
  <si>
    <t>Natural Gas</t>
  </si>
  <si>
    <t>Number</t>
  </si>
  <si>
    <t>% of Gas</t>
  </si>
  <si>
    <t>% of Total</t>
  </si>
  <si>
    <t>Steam &amp; Hot Water</t>
  </si>
  <si>
    <t>Wall, Floor &amp; Ceiling Units</t>
  </si>
  <si>
    <t>Portable</t>
  </si>
  <si>
    <t>Central FAF</t>
  </si>
  <si>
    <t>Other</t>
  </si>
  <si>
    <t>Oil</t>
  </si>
  <si>
    <t>Electric</t>
  </si>
  <si>
    <t>Portable Room Heaters</t>
  </si>
  <si>
    <t>Radiant Panels</t>
  </si>
  <si>
    <t>Baseboard/Wall units</t>
  </si>
  <si>
    <t>Wood</t>
  </si>
  <si>
    <t>Free Standing Stove</t>
  </si>
  <si>
    <t>Free-Standing Pellet Stove</t>
  </si>
  <si>
    <t>Fireplace Insert</t>
  </si>
  <si>
    <t>Fireplace</t>
  </si>
  <si>
    <t>Sub-Totals</t>
  </si>
  <si>
    <t>Units</t>
  </si>
  <si>
    <t>HP</t>
  </si>
  <si>
    <t>Total FAF</t>
  </si>
  <si>
    <t>Gas</t>
  </si>
  <si>
    <t>Space Heating Fuels: System and Equipment by Dwelling Type</t>
  </si>
  <si>
    <t>Fossil</t>
  </si>
  <si>
    <t>Manf. Hm</t>
  </si>
  <si>
    <t>S.Family</t>
  </si>
  <si>
    <t>M.Family</t>
  </si>
  <si>
    <t>Steam/Hot Water</t>
  </si>
  <si>
    <t>Wall, Floor or Ceiling</t>
  </si>
  <si>
    <t>Central Furnace</t>
  </si>
  <si>
    <t>Sub -Total</t>
  </si>
  <si>
    <t>Baseboard</t>
  </si>
  <si>
    <t>Sub - Total</t>
  </si>
  <si>
    <t>Fossil &amp; Electric - Total</t>
  </si>
  <si>
    <t>Total Households</t>
  </si>
  <si>
    <t>Central Forced Air Systems - Existing Housing</t>
  </si>
  <si>
    <t>Manufactured Homes</t>
  </si>
  <si>
    <t>Single Family Homes</t>
  </si>
  <si>
    <t>Percent</t>
  </si>
  <si>
    <t>Oil/Gas Furnace</t>
  </si>
  <si>
    <t>Electric Heat Pump</t>
  </si>
  <si>
    <t>Electric Forced-Air Furnace</t>
  </si>
  <si>
    <t>Crawlspace Foundation Types (Source: Xnergy Baseline)</t>
  </si>
  <si>
    <t>Full</t>
  </si>
  <si>
    <t>Partial</t>
  </si>
  <si>
    <t>1992 Stock</t>
  </si>
  <si>
    <t>Housing Units</t>
  </si>
  <si>
    <t>All Homes</t>
  </si>
  <si>
    <t>Fossil or Electric Heat</t>
  </si>
  <si>
    <t>Single Family or Manf. Home</t>
  </si>
  <si>
    <t>FAF or HP</t>
  </si>
  <si>
    <t>Ducts in crawlspace</t>
  </si>
  <si>
    <t>Duct need sealing</t>
  </si>
  <si>
    <t>1998 Estimated Stock</t>
  </si>
  <si>
    <t>Pacific Northwest Electric Air Condition Saturation by Location</t>
  </si>
  <si>
    <t>Type</t>
  </si>
  <si>
    <t>Western Washington</t>
  </si>
  <si>
    <t>Western Oregon</t>
  </si>
  <si>
    <t>Eastern Washington</t>
  </si>
  <si>
    <t>Eastern Oregon</t>
  </si>
  <si>
    <t>Western Montana</t>
  </si>
  <si>
    <t>PNW Region</t>
  </si>
  <si>
    <t>Central Electric System</t>
  </si>
  <si>
    <t>Central Gas System</t>
  </si>
  <si>
    <t>Evaporative Swamp Cooler</t>
  </si>
  <si>
    <t>No Central Air Conditioner</t>
  </si>
  <si>
    <t>Don't Know</t>
  </si>
  <si>
    <t>Refused</t>
  </si>
  <si>
    <t>Source: 1992 Pacific Northwest Residential Energy Survey, Volume C. Bonneville Power Administration. June 1993. Doc. PNWRES92.</t>
  </si>
  <si>
    <t>Other Central AC</t>
  </si>
  <si>
    <t>No Cnetral AC</t>
  </si>
  <si>
    <t>Portland</t>
  </si>
  <si>
    <t>Seattle</t>
  </si>
  <si>
    <t>Boise</t>
  </si>
  <si>
    <t>Spokane</t>
  </si>
  <si>
    <t>Missoula</t>
  </si>
  <si>
    <t>Shipment Weighted SEERs of Unitary Air Conditioners and Heat Pumps</t>
  </si>
  <si>
    <t>Year</t>
  </si>
  <si>
    <t xml:space="preserve">Unitary Air Conditioners </t>
  </si>
  <si>
    <t>Unitary Heat Pumps</t>
  </si>
  <si>
    <t xml:space="preserve">Source: Table 5.11 in Technical Support Document:  Energy Efficiency Standards for Consumer Products:   </t>
  </si>
  <si>
    <t>Residential Central Air Conditioners and Heat Pumps. US DOE.</t>
  </si>
  <si>
    <r>
      <t xml:space="preserve">LightWise </t>
    </r>
    <r>
      <rPr>
        <b/>
        <sz val="10"/>
        <rFont val="Arial"/>
        <family val="2"/>
      </rPr>
      <t>Bulb</t>
    </r>
    <r>
      <rPr>
        <b/>
        <sz val="10"/>
        <rFont val="Arial"/>
        <family val="0"/>
      </rPr>
      <t xml:space="preserve"> Program Budget and Savings Assumptions</t>
    </r>
  </si>
  <si>
    <t>Bulb Assumptions</t>
  </si>
  <si>
    <t>CFL Data</t>
  </si>
  <si>
    <t>Space Conditioning Interaction</t>
  </si>
  <si>
    <t xml:space="preserve"> Existing SphtSysType PNRES</t>
  </si>
  <si>
    <t xml:space="preserve">Sales Wght Avg SEER by Vintage </t>
  </si>
  <si>
    <t>The Northwest Energy Efficiency Alliance in supporting buying down the cost of fluorescent fixtures. For current information on this program see www.nwalliance.org. or contact the Alliance at 800-411-0834. The US Department of Energy is sponsoring a bulk procurement program for sub-compact fluorescent bulbs. Information on this program and links to online bulb sales can be found at http://www.pnl.gov/cfl/welcome.stm and at http://www.lightsite.net/.</t>
  </si>
  <si>
    <t>Lifetime (yrs) with given on-time</t>
  </si>
  <si>
    <t>Average - Interior Wattage</t>
  </si>
  <si>
    <t>Average - Exterior Wattage</t>
  </si>
  <si>
    <t>Weighted Average - Interior &amp; Exterior Wattage</t>
  </si>
  <si>
    <t>JAN</t>
  </si>
  <si>
    <t>FEB</t>
  </si>
  <si>
    <t>MAR</t>
  </si>
  <si>
    <t>APR</t>
  </si>
  <si>
    <t>MAY</t>
  </si>
  <si>
    <t>JUN</t>
  </si>
  <si>
    <t>JUL</t>
  </si>
  <si>
    <t>AUG</t>
  </si>
  <si>
    <t>SEP</t>
  </si>
  <si>
    <t>OCT</t>
  </si>
  <si>
    <t>NOV</t>
  </si>
  <si>
    <t>DEC</t>
  </si>
  <si>
    <t>Monthly Lighting Energy (kWh)</t>
  </si>
  <si>
    <t>Monthly Lighting Energy (%)</t>
  </si>
  <si>
    <t>Monthly CAC Energy (%)</t>
  </si>
  <si>
    <t>Standby Energy Savings during Cooling Season =&gt;</t>
  </si>
  <si>
    <t>Estar CFL Savings by Month (kWh)</t>
  </si>
  <si>
    <t>% of Total CFL Savings During Cooling Season</t>
  </si>
  <si>
    <t>Electric Heating Market Share in 2000*</t>
  </si>
  <si>
    <t>2025 Electric Heating Market Share**</t>
  </si>
  <si>
    <t>*Source: 2000 Census</t>
  </si>
  <si>
    <t xml:space="preserve">**Forecast electric space heating market share. </t>
  </si>
  <si>
    <t>***Stock average CAC SEER/3.413*100*.65*.75</t>
  </si>
  <si>
    <t>Stock average CAC SEER in 2025 assumption based on 2007 Federal Standard (SEER 12)</t>
  </si>
  <si>
    <t xml:space="preserve">Space Conditioning Interaction Adjustment for CFL Lighting Savings </t>
  </si>
  <si>
    <t>5th Plan Draft 092802</t>
  </si>
  <si>
    <t>Table 1-2. Average Household &amp; Lighting Electricity Consumption During Logged Period</t>
  </si>
  <si>
    <t>Utilities</t>
  </si>
  <si>
    <t>Whole House</t>
  </si>
  <si>
    <t>kWh</t>
  </si>
  <si>
    <t>StdDev</t>
  </si>
  <si>
    <t>Lighting</t>
  </si>
  <si>
    <t>N Customers</t>
  </si>
  <si>
    <t>Eugene W&amp;E</t>
  </si>
  <si>
    <t>Pacific</t>
  </si>
  <si>
    <t>PGE</t>
  </si>
  <si>
    <t>Peninsula</t>
  </si>
  <si>
    <t>Port Angeles</t>
  </si>
  <si>
    <t>Snohomish</t>
  </si>
  <si>
    <t>Tacoma</t>
  </si>
  <si>
    <t>Living rooms</t>
  </si>
  <si>
    <t>Kitchens</t>
  </si>
  <si>
    <t>Porches</t>
  </si>
  <si>
    <t>Bathrooms</t>
  </si>
  <si>
    <t>Bedrooms</t>
  </si>
  <si>
    <t>Master bedrooms</t>
  </si>
  <si>
    <t>Yard/Driveway</t>
  </si>
  <si>
    <t>Average On-time (hrs/day)</t>
  </si>
  <si>
    <t>Hours of Use per Day</t>
  </si>
  <si>
    <t>Living Room</t>
  </si>
  <si>
    <t>Kitchen</t>
  </si>
  <si>
    <t>Primary Bath</t>
  </si>
  <si>
    <t>Primary bedroom</t>
  </si>
  <si>
    <t>Table 3.2 Average On-time by Room for Periods 1&amp;3</t>
  </si>
  <si>
    <t>Period 1</t>
  </si>
  <si>
    <t>July 13, 1993 - February 4, 1994</t>
  </si>
  <si>
    <t>February 5, 1994 - August 31, 1994</t>
  </si>
  <si>
    <t>September 1, 1994 - February 26, 1995</t>
  </si>
  <si>
    <t>Period 4</t>
  </si>
  <si>
    <t>Room</t>
  </si>
  <si>
    <r>
      <t xml:space="preserve">March </t>
    </r>
    <r>
      <rPr>
        <sz val="10"/>
        <color indexed="8"/>
        <rFont val="Arial"/>
        <family val="2"/>
      </rPr>
      <t>1,1995-</t>
    </r>
    <r>
      <rPr>
        <u val="single"/>
        <sz val="10"/>
        <color indexed="8"/>
        <rFont val="Arial"/>
        <family val="2"/>
      </rPr>
      <t>August</t>
    </r>
    <r>
      <rPr>
        <sz val="10"/>
        <color indexed="8"/>
        <rFont val="Arial"/>
        <family val="2"/>
      </rPr>
      <t xml:space="preserve"> 31,1995</t>
    </r>
  </si>
  <si>
    <t>Table 1-1. Annual Lighting Energy Use Per Household</t>
  </si>
  <si>
    <t>Period</t>
  </si>
  <si>
    <t>N</t>
  </si>
  <si>
    <t>21 -3,773</t>
  </si>
  <si>
    <t>8 - 2,673</t>
  </si>
  <si>
    <t>1 &amp; 2</t>
  </si>
  <si>
    <t>8 - 3,773</t>
  </si>
  <si>
    <t>111 - 3,191</t>
  </si>
  <si>
    <t>168 - 2,677</t>
  </si>
  <si>
    <t>3&amp;4</t>
  </si>
  <si>
    <t>1&amp;3</t>
  </si>
  <si>
    <t>21 - 3,773</t>
  </si>
  <si>
    <t>2&amp;4</t>
  </si>
  <si>
    <t>8 - 2,677</t>
  </si>
  <si>
    <t>1,2,3,4</t>
  </si>
  <si>
    <t>Min &amp; Max per Customer/half year (kWh)</t>
  </si>
  <si>
    <t>Average per Customer/half year (kWh)</t>
  </si>
  <si>
    <t>Weighted Average per Customer/year (kWh)</t>
  </si>
  <si>
    <t>Unique Customers</t>
  </si>
  <si>
    <t>Share of Sample</t>
  </si>
  <si>
    <t>Number Fixtures</t>
  </si>
  <si>
    <t>Average Fixtures/House</t>
  </si>
  <si>
    <t>StdDev (hrs/day)</t>
  </si>
  <si>
    <t>Living Rooms</t>
  </si>
  <si>
    <t>Assumed Incandscent Wattage/Fixture</t>
  </si>
  <si>
    <t>Assumed CFL Wattage/Fixture</t>
  </si>
  <si>
    <t>Master Bedrooms</t>
  </si>
  <si>
    <t>Watts/Displaced/Fixture</t>
  </si>
  <si>
    <t>Share of Total</t>
  </si>
  <si>
    <t>Yard/ Driveway</t>
  </si>
  <si>
    <t>Total/Weighted Average Interior</t>
  </si>
  <si>
    <t>Total/Weighted Average Exterior</t>
  </si>
  <si>
    <t>Total/Weighted Average All</t>
  </si>
  <si>
    <t>Fraction of All Fixtures</t>
  </si>
  <si>
    <t>Incandscent Watts/Room</t>
  </si>
  <si>
    <t>CFL Watts/Room</t>
  </si>
  <si>
    <t>Share of estimated total lighting use</t>
  </si>
  <si>
    <t>R:\TE\New Plan\Residential Resource Assessment\MC_AND_LOADSHAPE.XLS</t>
  </si>
  <si>
    <t>Res Lighting Fixtures and Use</t>
  </si>
  <si>
    <t>Assumed Average Incandscent Wattage/Lamp</t>
  </si>
  <si>
    <t>Assumed Average CFL Wattage/Lamp</t>
  </si>
  <si>
    <t>Assumed Lamps/Fixture</t>
  </si>
  <si>
    <t>Incandscent Use (kWh/yr)</t>
  </si>
  <si>
    <t>CFL Use (kWh/yr)</t>
  </si>
  <si>
    <t>Lamps/Room</t>
  </si>
  <si>
    <t>Base Case Wattage/Room</t>
  </si>
  <si>
    <t>CFL Wattage/Room</t>
  </si>
  <si>
    <t>Number of Lamps/Room</t>
  </si>
  <si>
    <t>Measure Cost/Lamp</t>
  </si>
  <si>
    <t>Energy Star CFL in Living Rooms - 100  Watt</t>
  </si>
  <si>
    <t>Living Rooms - 100  Watt</t>
  </si>
  <si>
    <t>Energy Star CFL in Kitchens - 116  Watt</t>
  </si>
  <si>
    <t>Kitchens - 116  Watt</t>
  </si>
  <si>
    <t>Energy Star CFL in Bathrooms - 112  Watt</t>
  </si>
  <si>
    <t>Bathrooms - 112  Watt</t>
  </si>
  <si>
    <t>Energy Star CFL in Bedrooms - 88.4  Watt</t>
  </si>
  <si>
    <t>Bedrooms - 88.4  Watt</t>
  </si>
  <si>
    <t>Energy Star CFL in Master Bedrooms - 80  Watt</t>
  </si>
  <si>
    <t>Master Bedrooms - 80  Watt</t>
  </si>
  <si>
    <t>Energy Star CFL in Porches - 32  Watt</t>
  </si>
  <si>
    <t>Porches - 32  Watt</t>
  </si>
  <si>
    <t>Energy Star CFL in Yard/ Driveway - 40.8  Watt</t>
  </si>
  <si>
    <t>Yard/ Driveway - 40.8  Watt</t>
  </si>
  <si>
    <t>Energy Star CFL in Average - Interior Wattage - 101  Watt</t>
  </si>
  <si>
    <t>Average - Interior Wattage - 101  Watt</t>
  </si>
  <si>
    <t>Energy Star CFL in Average - Exterior Wattage - 37  Watt</t>
  </si>
  <si>
    <t>Average - Exterior Wattage - 37  Watt</t>
  </si>
  <si>
    <t>Energy Star CFL in Weighted Average - Interior &amp; Exterior Wattage - 92  Watt</t>
  </si>
  <si>
    <t>Weighted Average - Interior &amp; Exterior Wattage - 92  Watt</t>
  </si>
  <si>
    <t>CFL Cost/Lamp</t>
  </si>
  <si>
    <t>Incremental Measure Cost/Room</t>
  </si>
  <si>
    <t>Watts Displaced/Room</t>
  </si>
  <si>
    <t>Incandescent cost/Room</t>
  </si>
  <si>
    <t>*Weights assigned to reflect Tacoma Lighting Study distribution of bulb displacements</t>
  </si>
  <si>
    <t>Savings/Home (kWh/yr) w/o Adjustments</t>
  </si>
  <si>
    <t>Adjustments</t>
  </si>
  <si>
    <t>Weighted Average - Whole House Savings</t>
  </si>
  <si>
    <t>Measure Cost/Room</t>
  </si>
  <si>
    <t>ProCost Results, Version 1.70a: JPH 03/07/01, 10:51 PM 12/5/2002</t>
  </si>
  <si>
    <t>Energy Star CFL  Weighted Average - Whole House Savings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</si>
</sst>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Red]\-0.0"/>
    <numFmt numFmtId="168" formatCode="_(&quot;$&quot;* #,##0_);_(&quot;$&quot;* \(#,##0\);_(&quot;$&quot;* &quot;-&quot;??_);_(@_)"/>
    <numFmt numFmtId="169" formatCode="_(* #,##0_);_(* \(#,##0\);_(* &quot;-&quot;??_);_(@_)"/>
    <numFmt numFmtId="170" formatCode="&quot;$&quot;#,##0"/>
    <numFmt numFmtId="171" formatCode="&quot;$&quot;#,##0.00"/>
    <numFmt numFmtId="172" formatCode="\ \ \ General"/>
    <numFmt numFmtId="173" formatCode="\ \ \ @"/>
    <numFmt numFmtId="174" formatCode="0%\ \ \ "/>
    <numFmt numFmtId="175" formatCode="00000"/>
    <numFmt numFmtId="176" formatCode="0.00000%"/>
    <numFmt numFmtId="177" formatCode="#,##0.0"/>
    <numFmt numFmtId="178" formatCode="0.00000"/>
    <numFmt numFmtId="179" formatCode="0.0000"/>
    <numFmt numFmtId="180" formatCode="_(* #,##0.0_);_(* \(#,##0.0\);_(* &quot;-&quot;??_);_(@_)"/>
    <numFmt numFmtId="181" formatCode="_(* #,##0.0_);_(* \(#,##0.0\);_(* &quot;-&quot;?_);_(@_)"/>
    <numFmt numFmtId="182" formatCode="0.000000"/>
    <numFmt numFmtId="183" formatCode="_(&quot;$&quot;* #,##0.0_);_(&quot;$&quot;* \(#,##0.0\);_(&quot;$&quot;* &quot;-&quot;??_);_(@_)"/>
    <numFmt numFmtId="184" formatCode="0.0000000"/>
  </numFmts>
  <fonts count="32">
    <font>
      <sz val="10"/>
      <name val="Arial"/>
      <family val="0"/>
    </font>
    <font>
      <b/>
      <i/>
      <sz val="10"/>
      <color indexed="9"/>
      <name val="Arial"/>
      <family val="2"/>
    </font>
    <font>
      <sz val="11"/>
      <color indexed="8"/>
      <name val="Arial"/>
      <family val="2"/>
    </font>
    <font>
      <sz val="11"/>
      <color indexed="9"/>
      <name val="Arial"/>
      <family val="2"/>
    </font>
    <font>
      <b/>
      <sz val="11"/>
      <color indexed="9"/>
      <name val="Arial"/>
      <family val="2"/>
    </font>
    <font>
      <sz val="11"/>
      <name val="Arial"/>
      <family val="2"/>
    </font>
    <font>
      <b/>
      <sz val="10"/>
      <color indexed="9"/>
      <name val="Arial"/>
      <family val="2"/>
    </font>
    <font>
      <b/>
      <i/>
      <sz val="11"/>
      <name val="Arial"/>
      <family val="2"/>
    </font>
    <font>
      <sz val="8"/>
      <name val="Tahoma"/>
      <family val="0"/>
    </font>
    <font>
      <u val="single"/>
      <sz val="10"/>
      <color indexed="12"/>
      <name val="Arial"/>
      <family val="0"/>
    </font>
    <font>
      <u val="single"/>
      <sz val="12"/>
      <color indexed="36"/>
      <name val="Arial"/>
      <family val="0"/>
    </font>
    <font>
      <sz val="10"/>
      <color indexed="12"/>
      <name val="Arial"/>
      <family val="2"/>
    </font>
    <font>
      <sz val="10"/>
      <color indexed="8"/>
      <name val="Arial"/>
      <family val="2"/>
    </font>
    <font>
      <sz val="10"/>
      <color indexed="22"/>
      <name val="Arial"/>
      <family val="2"/>
    </font>
    <font>
      <sz val="10"/>
      <color indexed="9"/>
      <name val="Arial"/>
      <family val="2"/>
    </font>
    <font>
      <sz val="10"/>
      <color indexed="10"/>
      <name val="Arial"/>
      <family val="2"/>
    </font>
    <font>
      <b/>
      <sz val="8"/>
      <name val="Tahoma"/>
      <family val="0"/>
    </font>
    <font>
      <b/>
      <sz val="10"/>
      <name val="Arial"/>
      <family val="2"/>
    </font>
    <font>
      <b/>
      <sz val="11"/>
      <name val="Arial"/>
      <family val="2"/>
    </font>
    <font>
      <b/>
      <sz val="8"/>
      <name val="Arial"/>
      <family val="2"/>
    </font>
    <font>
      <sz val="8"/>
      <name val="Arial"/>
      <family val="0"/>
    </font>
    <font>
      <b/>
      <sz val="10"/>
      <name val="Tahoma"/>
      <family val="2"/>
    </font>
    <font>
      <sz val="10"/>
      <name val="Tahoma"/>
      <family val="2"/>
    </font>
    <font>
      <sz val="6"/>
      <name val="Tahoma"/>
      <family val="0"/>
    </font>
    <font>
      <sz val="12"/>
      <name val="Arial"/>
      <family val="0"/>
    </font>
    <font>
      <b/>
      <sz val="12"/>
      <name val="Arial"/>
      <family val="2"/>
    </font>
    <font>
      <b/>
      <sz val="12"/>
      <name val="TimesNewRomanPS-BoldMT"/>
      <family val="0"/>
    </font>
    <font>
      <b/>
      <sz val="10"/>
      <name val="TimesNewRomanPS-BoldMT"/>
      <family val="0"/>
    </font>
    <font>
      <sz val="10"/>
      <name val="TimesNewRomanPSMT"/>
      <family val="0"/>
    </font>
    <font>
      <u val="single"/>
      <sz val="10"/>
      <color indexed="8"/>
      <name val="Arial"/>
      <family val="2"/>
    </font>
    <font>
      <b/>
      <sz val="12"/>
      <color indexed="8"/>
      <name val="Times New Roman"/>
      <family val="1"/>
    </font>
    <font>
      <b/>
      <sz val="10"/>
      <color indexed="8"/>
      <name val="Arial"/>
      <family val="2"/>
    </font>
  </fonts>
  <fills count="15">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lightTrellis">
        <bgColor indexed="9"/>
      </patternFill>
    </fill>
    <fill>
      <patternFill patternType="solid">
        <fgColor indexed="26"/>
        <bgColor indexed="64"/>
      </patternFill>
    </fill>
    <fill>
      <patternFill patternType="solid">
        <fgColor indexed="22"/>
        <bgColor indexed="64"/>
      </patternFill>
    </fill>
    <fill>
      <patternFill patternType="solid">
        <fgColor indexed="61"/>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51"/>
        <bgColor indexed="64"/>
      </patternFill>
    </fill>
  </fills>
  <borders count="51">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color indexed="63"/>
      </left>
      <right style="thin"/>
      <top>
        <color indexed="63"/>
      </top>
      <bottom style="thin"/>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style="medium"/>
      <right style="thin"/>
      <top style="thin"/>
      <bottom style="thin"/>
    </border>
    <border>
      <left style="medium"/>
      <right style="medium"/>
      <top>
        <color indexed="63"/>
      </top>
      <bottom style="thin"/>
    </border>
    <border>
      <left style="medium"/>
      <right style="medium"/>
      <top>
        <color indexed="63"/>
      </top>
      <bottom style="medium"/>
    </border>
    <border>
      <left style="medium"/>
      <right style="medium"/>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thin"/>
      <bottom style="mediu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medium"/>
      <right style="thin"/>
      <top>
        <color indexed="63"/>
      </top>
      <bottom>
        <color indexed="63"/>
      </bottom>
    </border>
    <border>
      <left style="thin"/>
      <right style="medium"/>
      <top style="thin"/>
      <bottom>
        <color indexed="63"/>
      </bottom>
    </border>
    <border>
      <left style="medium"/>
      <right style="medium"/>
      <top>
        <color indexed="63"/>
      </top>
      <bottom>
        <color indexed="63"/>
      </bottom>
    </border>
    <border>
      <left style="medium"/>
      <right style="thin"/>
      <top style="thin"/>
      <bottom>
        <color indexed="63"/>
      </bottom>
    </border>
    <border>
      <left style="thin"/>
      <right style="thin"/>
      <top style="medium"/>
      <bottom style="thin"/>
    </border>
    <border>
      <left style="thin"/>
      <right>
        <color indexed="63"/>
      </right>
      <top style="medium"/>
      <bottom style="thin"/>
    </border>
    <border>
      <left style="thin"/>
      <right>
        <color indexed="63"/>
      </right>
      <top style="thin"/>
      <bottom style="medium"/>
    </border>
    <border>
      <left style="thin"/>
      <right>
        <color indexed="63"/>
      </right>
      <top style="medium"/>
      <bottom style="mediu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10" fillId="0" borderId="0" applyNumberFormat="0" applyFill="0" applyBorder="0" applyAlignment="0" applyProtection="0"/>
    <xf numFmtId="0" fontId="9"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0" fillId="0" borderId="0">
      <alignment/>
      <protection/>
    </xf>
    <xf numFmtId="9" fontId="0" fillId="0" borderId="0" applyFont="0" applyFill="0" applyBorder="0" applyAlignment="0" applyProtection="0"/>
  </cellStyleXfs>
  <cellXfs count="347">
    <xf numFmtId="0" fontId="0" fillId="0" borderId="0" xfId="0" applyAlignment="1">
      <alignment/>
    </xf>
    <xf numFmtId="0" fontId="1" fillId="4" borderId="1" xfId="0" applyFont="1" applyFill="1" applyBorder="1" applyAlignment="1" quotePrefix="1">
      <alignment horizontal="centerContinuous" vertical="center"/>
    </xf>
    <xf numFmtId="0" fontId="2" fillId="4" borderId="2" xfId="0" applyFont="1" applyFill="1" applyBorder="1" applyAlignment="1">
      <alignment horizontal="centerContinuous" vertical="center"/>
    </xf>
    <xf numFmtId="0" fontId="5" fillId="0" borderId="0" xfId="0" applyFont="1" applyAlignment="1">
      <alignment/>
    </xf>
    <xf numFmtId="0" fontId="0" fillId="0" borderId="0" xfId="0" applyFont="1" applyBorder="1" applyAlignment="1">
      <alignment/>
    </xf>
    <xf numFmtId="0" fontId="0" fillId="0" borderId="0" xfId="0" applyFont="1" applyAlignment="1">
      <alignment/>
    </xf>
    <xf numFmtId="0" fontId="1" fillId="4" borderId="0" xfId="0" applyFont="1" applyFill="1" applyBorder="1" applyAlignment="1">
      <alignment/>
    </xf>
    <xf numFmtId="0" fontId="0" fillId="3"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left"/>
    </xf>
    <xf numFmtId="0" fontId="7" fillId="0" borderId="0" xfId="0" applyFont="1" applyAlignment="1">
      <alignment horizontal="center" wrapText="1"/>
    </xf>
    <xf numFmtId="0" fontId="5" fillId="0" borderId="0" xfId="0" applyFont="1" applyFill="1" applyAlignment="1">
      <alignment/>
    </xf>
    <xf numFmtId="0" fontId="0" fillId="3" borderId="0" xfId="0" applyFont="1" applyFill="1" applyBorder="1" applyAlignment="1">
      <alignment/>
    </xf>
    <xf numFmtId="0" fontId="0" fillId="0" borderId="0" xfId="0" applyFont="1" applyAlignment="1" quotePrefix="1">
      <alignment horizontal="left"/>
    </xf>
    <xf numFmtId="0" fontId="0" fillId="0" borderId="0" xfId="0" applyFont="1" applyFill="1" applyBorder="1" applyAlignment="1" quotePrefix="1">
      <alignment horizontal="left"/>
    </xf>
    <xf numFmtId="0" fontId="0" fillId="0" borderId="0" xfId="0" applyAlignment="1" quotePrefix="1">
      <alignment horizontal="left"/>
    </xf>
    <xf numFmtId="0" fontId="0" fillId="0" borderId="0" xfId="0" applyBorder="1" applyAlignment="1">
      <alignment/>
    </xf>
    <xf numFmtId="0" fontId="0" fillId="3" borderId="3" xfId="20" applyBorder="1" applyAlignment="1">
      <alignment/>
      <protection/>
    </xf>
    <xf numFmtId="0" fontId="0" fillId="2" borderId="3" xfId="19" applyBorder="1" applyAlignment="1">
      <alignment horizontal="right"/>
      <protection/>
    </xf>
    <xf numFmtId="10" fontId="0" fillId="2" borderId="3" xfId="19" applyNumberFormat="1" applyBorder="1" applyAlignment="1">
      <alignment horizontal="right"/>
      <protection/>
    </xf>
    <xf numFmtId="164" fontId="0" fillId="2" borderId="3" xfId="19" applyNumberFormat="1" applyBorder="1" applyAlignment="1">
      <alignment horizontal="right"/>
      <protection/>
    </xf>
    <xf numFmtId="9" fontId="0" fillId="2" borderId="3" xfId="19" applyNumberFormat="1" applyBorder="1" applyAlignment="1">
      <alignment horizontal="right"/>
      <protection/>
    </xf>
    <xf numFmtId="2" fontId="0" fillId="2" borderId="3" xfId="19" applyNumberFormat="1" applyBorder="1" applyAlignment="1">
      <alignment horizontal="right"/>
      <protection/>
    </xf>
    <xf numFmtId="165" fontId="0" fillId="2" borderId="3" xfId="19" applyNumberFormat="1" applyBorder="1" applyAlignment="1">
      <alignment horizontal="right"/>
      <protection/>
    </xf>
    <xf numFmtId="9" fontId="0" fillId="2" borderId="3" xfId="19" applyBorder="1" applyAlignment="1">
      <alignment horizontal="right"/>
      <protection/>
    </xf>
    <xf numFmtId="0" fontId="1" fillId="4" borderId="3" xfId="0" applyFont="1" applyFill="1" applyBorder="1" applyAlignment="1" quotePrefix="1">
      <alignment horizontal="centerContinuous" vertical="center"/>
    </xf>
    <xf numFmtId="0" fontId="3" fillId="4" borderId="3" xfId="0" applyFont="1" applyFill="1" applyBorder="1" applyAlignment="1">
      <alignment horizontal="centerContinuous" vertical="center"/>
    </xf>
    <xf numFmtId="0" fontId="4" fillId="4" borderId="3" xfId="0" applyFont="1" applyFill="1" applyBorder="1" applyAlignment="1" quotePrefix="1">
      <alignment horizontal="centerContinuous" vertical="center"/>
    </xf>
    <xf numFmtId="0" fontId="0" fillId="3" borderId="3" xfId="20" applyBorder="1" applyAlignment="1">
      <alignment horizontal="center" wrapText="1"/>
      <protection/>
    </xf>
    <xf numFmtId="0" fontId="0" fillId="5" borderId="3" xfId="0" applyFont="1" applyFill="1" applyBorder="1" applyAlignment="1">
      <alignment horizontal="right"/>
    </xf>
    <xf numFmtId="0" fontId="0" fillId="3" borderId="3" xfId="20" applyBorder="1" applyAlignment="1">
      <alignment horizontal="left"/>
      <protection/>
    </xf>
    <xf numFmtId="0" fontId="0" fillId="3" borderId="3" xfId="0" applyFont="1" applyFill="1" applyBorder="1" applyAlignment="1">
      <alignment horizontal="left"/>
    </xf>
    <xf numFmtId="0" fontId="0" fillId="3" borderId="3" xfId="0" applyFont="1" applyFill="1" applyBorder="1" applyAlignment="1" quotePrefix="1">
      <alignment horizontal="left"/>
    </xf>
    <xf numFmtId="0" fontId="0" fillId="3" borderId="3" xfId="0" applyFont="1" applyFill="1" applyBorder="1" applyAlignment="1">
      <alignment/>
    </xf>
    <xf numFmtId="0" fontId="0" fillId="3" borderId="3" xfId="20" applyFont="1" applyBorder="1" applyAlignment="1">
      <alignment/>
      <protection/>
    </xf>
    <xf numFmtId="9" fontId="0" fillId="2" borderId="4" xfId="19" applyBorder="1" applyAlignment="1">
      <alignment horizontal="right"/>
      <protection/>
    </xf>
    <xf numFmtId="0" fontId="6" fillId="4" borderId="5" xfId="0" applyFont="1" applyFill="1" applyBorder="1" applyAlignment="1">
      <alignment horizontal="centerContinuous"/>
    </xf>
    <xf numFmtId="0" fontId="11" fillId="4" borderId="6" xfId="0" applyFont="1" applyFill="1" applyBorder="1" applyAlignment="1">
      <alignment/>
    </xf>
    <xf numFmtId="0" fontId="11" fillId="4" borderId="6" xfId="0" applyFont="1" applyFill="1" applyBorder="1" applyAlignment="1">
      <alignment horizontal="centerContinuous"/>
    </xf>
    <xf numFmtId="0" fontId="11" fillId="4" borderId="7" xfId="0" applyFont="1" applyFill="1" applyBorder="1" applyAlignment="1">
      <alignment horizontal="centerContinuous"/>
    </xf>
    <xf numFmtId="0" fontId="12" fillId="6" borderId="3" xfId="0" applyFont="1" applyFill="1" applyBorder="1" applyAlignment="1">
      <alignment horizontal="centerContinuous"/>
    </xf>
    <xf numFmtId="0" fontId="13" fillId="6" borderId="3" xfId="0" applyFont="1" applyFill="1" applyBorder="1" applyAlignment="1">
      <alignment horizontal="centerContinuous"/>
    </xf>
    <xf numFmtId="0" fontId="12" fillId="7" borderId="8" xfId="0" applyFont="1" applyFill="1" applyBorder="1" applyAlignment="1">
      <alignment horizontal="center" wrapText="1"/>
    </xf>
    <xf numFmtId="0" fontId="12" fillId="7" borderId="9" xfId="0" applyFont="1" applyFill="1" applyBorder="1" applyAlignment="1">
      <alignment horizontal="center" wrapText="1"/>
    </xf>
    <xf numFmtId="2" fontId="11" fillId="0" borderId="0" xfId="0" applyNumberFormat="1" applyFont="1" applyAlignment="1">
      <alignment/>
    </xf>
    <xf numFmtId="165" fontId="0" fillId="0" borderId="0" xfId="0" applyNumberFormat="1" applyAlignment="1">
      <alignment/>
    </xf>
    <xf numFmtId="0" fontId="14" fillId="8" borderId="10" xfId="0" applyFont="1" applyFill="1" applyBorder="1" applyAlignment="1">
      <alignment horizontal="centerContinuous" wrapText="1"/>
    </xf>
    <xf numFmtId="0" fontId="14" fillId="8" borderId="11" xfId="0" applyFont="1" applyFill="1" applyBorder="1" applyAlignment="1">
      <alignment horizontal="centerContinuous" wrapText="1"/>
    </xf>
    <xf numFmtId="0" fontId="12" fillId="9" borderId="12" xfId="0" applyFont="1" applyFill="1" applyBorder="1" applyAlignment="1">
      <alignment horizontal="centerContinuous" wrapText="1"/>
    </xf>
    <xf numFmtId="0" fontId="12" fillId="9" borderId="11" xfId="0" applyFont="1" applyFill="1" applyBorder="1" applyAlignment="1">
      <alignment horizontal="centerContinuous" wrapText="1"/>
    </xf>
    <xf numFmtId="165" fontId="12" fillId="9" borderId="12" xfId="0" applyNumberFormat="1" applyFont="1" applyFill="1" applyBorder="1" applyAlignment="1">
      <alignment horizontal="centerContinuous" wrapText="1"/>
    </xf>
    <xf numFmtId="165" fontId="12" fillId="9" borderId="11" xfId="0" applyNumberFormat="1" applyFont="1" applyFill="1" applyBorder="1" applyAlignment="1">
      <alignment horizontal="centerContinuous" wrapText="1"/>
    </xf>
    <xf numFmtId="165" fontId="12" fillId="9" borderId="10" xfId="0" applyNumberFormat="1" applyFont="1" applyFill="1" applyBorder="1" applyAlignment="1">
      <alignment horizontal="centerContinuous" wrapText="1"/>
    </xf>
    <xf numFmtId="0" fontId="12" fillId="3" borderId="3" xfId="0" applyFont="1" applyFill="1" applyBorder="1" applyAlignment="1">
      <alignment horizontal="center" wrapText="1"/>
    </xf>
    <xf numFmtId="0" fontId="12" fillId="3" borderId="7" xfId="0" applyFont="1" applyFill="1" applyBorder="1" applyAlignment="1">
      <alignment horizontal="center" wrapText="1"/>
    </xf>
    <xf numFmtId="165" fontId="12" fillId="3" borderId="7" xfId="0" applyNumberFormat="1" applyFont="1" applyFill="1" applyBorder="1" applyAlignment="1">
      <alignment horizontal="center" wrapText="1"/>
    </xf>
    <xf numFmtId="2" fontId="0" fillId="0" borderId="0" xfId="0" applyNumberFormat="1" applyAlignment="1">
      <alignment/>
    </xf>
    <xf numFmtId="167" fontId="0" fillId="0" borderId="0" xfId="0" applyNumberFormat="1" applyAlignment="1">
      <alignment/>
    </xf>
    <xf numFmtId="0" fontId="12" fillId="10" borderId="12" xfId="0" applyFont="1" applyFill="1" applyBorder="1" applyAlignment="1">
      <alignment horizontal="centerContinuous" wrapText="1"/>
    </xf>
    <xf numFmtId="165" fontId="12" fillId="10" borderId="10" xfId="0" applyNumberFormat="1" applyFont="1" applyFill="1" applyBorder="1" applyAlignment="1">
      <alignment horizontal="centerContinuous" wrapText="1"/>
    </xf>
    <xf numFmtId="165" fontId="12" fillId="10" borderId="11" xfId="0" applyNumberFormat="1" applyFont="1" applyFill="1" applyBorder="1" applyAlignment="1">
      <alignment horizontal="centerContinuous" wrapText="1"/>
    </xf>
    <xf numFmtId="0" fontId="12" fillId="2" borderId="12" xfId="0" applyFont="1" applyFill="1" applyBorder="1" applyAlignment="1">
      <alignment horizontal="centerContinuous" wrapText="1"/>
    </xf>
    <xf numFmtId="0" fontId="12" fillId="2" borderId="10" xfId="0" applyFont="1" applyFill="1" applyBorder="1" applyAlignment="1">
      <alignment horizontal="centerContinuous" wrapText="1"/>
    </xf>
    <xf numFmtId="165" fontId="12" fillId="2" borderId="10" xfId="0" applyNumberFormat="1" applyFont="1" applyFill="1" applyBorder="1" applyAlignment="1">
      <alignment horizontal="centerContinuous" wrapText="1"/>
    </xf>
    <xf numFmtId="165" fontId="12" fillId="2" borderId="11" xfId="0" applyNumberFormat="1" applyFont="1" applyFill="1" applyBorder="1" applyAlignment="1">
      <alignment horizontal="centerContinuous" wrapText="1"/>
    </xf>
    <xf numFmtId="2" fontId="15" fillId="0" borderId="0" xfId="0" applyNumberFormat="1" applyFont="1" applyAlignment="1">
      <alignment/>
    </xf>
    <xf numFmtId="165" fontId="15" fillId="0" borderId="0" xfId="0" applyNumberFormat="1" applyFont="1" applyAlignment="1">
      <alignment/>
    </xf>
    <xf numFmtId="0" fontId="12" fillId="10" borderId="11" xfId="0" applyFont="1" applyFill="1" applyBorder="1" applyAlignment="1">
      <alignment horizontal="centerContinuous" wrapText="1"/>
    </xf>
    <xf numFmtId="165" fontId="12" fillId="10" borderId="12" xfId="0" applyNumberFormat="1" applyFont="1" applyFill="1" applyBorder="1" applyAlignment="1">
      <alignment horizontal="centerContinuous" wrapText="1"/>
    </xf>
    <xf numFmtId="165" fontId="12" fillId="10" borderId="13" xfId="0" applyNumberFormat="1" applyFont="1" applyFill="1" applyBorder="1" applyAlignment="1">
      <alignment horizontal="centerContinuous" wrapText="1"/>
    </xf>
    <xf numFmtId="0" fontId="5" fillId="11" borderId="14" xfId="0" applyFont="1" applyFill="1" applyBorder="1" applyAlignment="1">
      <alignment vertical="justify"/>
    </xf>
    <xf numFmtId="0" fontId="5" fillId="11" borderId="15" xfId="0" applyFont="1" applyFill="1" applyBorder="1" applyAlignment="1">
      <alignment vertical="justify"/>
    </xf>
    <xf numFmtId="0" fontId="5" fillId="0" borderId="0" xfId="0" applyFont="1" applyAlignment="1">
      <alignment vertical="justify"/>
    </xf>
    <xf numFmtId="0" fontId="19" fillId="11" borderId="16" xfId="0" applyFont="1" applyFill="1" applyBorder="1" applyAlignment="1">
      <alignment horizontal="left" wrapText="1"/>
    </xf>
    <xf numFmtId="0" fontId="19" fillId="11" borderId="17" xfId="0" applyFont="1" applyFill="1" applyBorder="1" applyAlignment="1">
      <alignment horizontal="left" wrapText="1"/>
    </xf>
    <xf numFmtId="0" fontId="19" fillId="11" borderId="10" xfId="0" applyFont="1" applyFill="1" applyBorder="1" applyAlignment="1">
      <alignment horizontal="left" wrapText="1"/>
    </xf>
    <xf numFmtId="0" fontId="17" fillId="0" borderId="0" xfId="0" applyFont="1" applyAlignment="1">
      <alignment/>
    </xf>
    <xf numFmtId="175" fontId="20" fillId="0" borderId="18" xfId="0" applyNumberFormat="1" applyFont="1" applyBorder="1" applyAlignment="1">
      <alignment horizontal="left" vertical="top" wrapText="1"/>
    </xf>
    <xf numFmtId="168" fontId="20" fillId="0" borderId="18" xfId="17" applyNumberFormat="1" applyFont="1" applyBorder="1" applyAlignment="1">
      <alignment horizontal="center" vertical="top" wrapText="1"/>
    </xf>
    <xf numFmtId="1" fontId="20" fillId="0" borderId="18" xfId="0" applyNumberFormat="1" applyFont="1" applyBorder="1" applyAlignment="1">
      <alignment horizontal="center" vertical="top" wrapText="1"/>
    </xf>
    <xf numFmtId="44" fontId="20" fillId="0" borderId="18" xfId="17" applyFont="1" applyBorder="1" applyAlignment="1">
      <alignment horizontal="left" vertical="top" wrapText="1"/>
    </xf>
    <xf numFmtId="2" fontId="20" fillId="0" borderId="18" xfId="0" applyNumberFormat="1" applyFont="1" applyBorder="1" applyAlignment="1">
      <alignment horizontal="center" vertical="top" wrapText="1"/>
    </xf>
    <xf numFmtId="0" fontId="14" fillId="8" borderId="12" xfId="0" applyFont="1" applyFill="1" applyBorder="1" applyAlignment="1">
      <alignment horizontal="left" wrapText="1"/>
    </xf>
    <xf numFmtId="0" fontId="0" fillId="3" borderId="3" xfId="20" applyFont="1" applyBorder="1" applyAlignment="1">
      <alignment/>
      <protection/>
    </xf>
    <xf numFmtId="175" fontId="19" fillId="0" borderId="9" xfId="0" applyNumberFormat="1" applyFont="1" applyBorder="1" applyAlignment="1">
      <alignment horizontal="left" vertical="top" wrapText="1"/>
    </xf>
    <xf numFmtId="44" fontId="20" fillId="0" borderId="18" xfId="17" applyNumberFormat="1" applyFont="1" applyBorder="1" applyAlignment="1">
      <alignment horizontal="left" vertical="top" wrapText="1"/>
    </xf>
    <xf numFmtId="165" fontId="20" fillId="0" borderId="18" xfId="0" applyNumberFormat="1" applyFont="1" applyBorder="1" applyAlignment="1">
      <alignment horizontal="center" vertical="top" wrapText="1"/>
    </xf>
    <xf numFmtId="0" fontId="20" fillId="0" borderId="18" xfId="0" applyFont="1" applyBorder="1" applyAlignment="1">
      <alignment horizontal="left" vertical="top" wrapText="1"/>
    </xf>
    <xf numFmtId="0" fontId="0" fillId="3" borderId="3" xfId="20" applyFont="1" applyBorder="1" applyAlignment="1">
      <alignment horizontal="left"/>
      <protection/>
    </xf>
    <xf numFmtId="169" fontId="0" fillId="0" borderId="0" xfId="15" applyNumberFormat="1" applyAlignment="1">
      <alignment/>
    </xf>
    <xf numFmtId="0" fontId="0" fillId="0" borderId="0" xfId="0" applyAlignment="1">
      <alignment horizontal="right"/>
    </xf>
    <xf numFmtId="0" fontId="18" fillId="11" borderId="19" xfId="0" applyFont="1" applyFill="1" applyBorder="1" applyAlignment="1">
      <alignment horizontal="center" wrapText="1"/>
    </xf>
    <xf numFmtId="169" fontId="20" fillId="0" borderId="18" xfId="15" applyNumberFormat="1" applyFont="1" applyBorder="1" applyAlignment="1">
      <alignment horizontal="center" vertical="top" wrapText="1"/>
    </xf>
    <xf numFmtId="0" fontId="20" fillId="0" borderId="3" xfId="0" applyFont="1" applyBorder="1" applyAlignment="1">
      <alignment wrapText="1"/>
    </xf>
    <xf numFmtId="44" fontId="20" fillId="0" borderId="18" xfId="17" applyNumberFormat="1" applyFont="1" applyBorder="1" applyAlignment="1">
      <alignment horizontal="center" vertical="top" wrapText="1"/>
    </xf>
    <xf numFmtId="44" fontId="0" fillId="0" borderId="0" xfId="0" applyNumberFormat="1" applyAlignment="1">
      <alignment/>
    </xf>
    <xf numFmtId="0" fontId="7" fillId="0" borderId="0" xfId="25" applyFont="1">
      <alignment/>
      <protection/>
    </xf>
    <xf numFmtId="0" fontId="0" fillId="0" borderId="0" xfId="25" applyFont="1">
      <alignment/>
      <protection/>
    </xf>
    <xf numFmtId="0" fontId="24" fillId="0" borderId="0" xfId="25">
      <alignment/>
      <protection/>
    </xf>
    <xf numFmtId="5" fontId="24" fillId="0" borderId="0" xfId="25" applyNumberFormat="1">
      <alignment/>
      <protection/>
    </xf>
    <xf numFmtId="165" fontId="24" fillId="0" borderId="0" xfId="25" applyNumberFormat="1">
      <alignment/>
      <protection/>
    </xf>
    <xf numFmtId="0" fontId="0" fillId="0" borderId="0" xfId="25" applyFont="1" applyAlignment="1">
      <alignment horizontal="left"/>
      <protection/>
    </xf>
    <xf numFmtId="0" fontId="12" fillId="7" borderId="20" xfId="0" applyFont="1" applyFill="1" applyBorder="1" applyAlignment="1">
      <alignment horizontal="center" wrapText="1"/>
    </xf>
    <xf numFmtId="168" fontId="0" fillId="0" borderId="0" xfId="26" applyNumberFormat="1" applyFont="1" applyAlignment="1">
      <alignment horizontal="left"/>
      <protection/>
    </xf>
    <xf numFmtId="3" fontId="0" fillId="0" borderId="0" xfId="26" applyNumberFormat="1" applyFont="1" applyAlignment="1">
      <alignment horizontal="center"/>
      <protection/>
    </xf>
    <xf numFmtId="177" fontId="0" fillId="0" borderId="0" xfId="26" applyNumberFormat="1" applyFont="1" applyAlignment="1">
      <alignment horizontal="center"/>
      <protection/>
    </xf>
    <xf numFmtId="8" fontId="0" fillId="0" borderId="0" xfId="26" applyNumberFormat="1" applyFont="1" applyAlignment="1">
      <alignment horizontal="right"/>
      <protection/>
    </xf>
    <xf numFmtId="44" fontId="0" fillId="0" borderId="0" xfId="17" applyFont="1" applyAlignment="1">
      <alignment horizontal="left"/>
    </xf>
    <xf numFmtId="4" fontId="0" fillId="0" borderId="0" xfId="26" applyNumberFormat="1" applyFont="1" applyAlignment="1">
      <alignment horizontal="left"/>
      <protection/>
    </xf>
    <xf numFmtId="0" fontId="17" fillId="0" borderId="0" xfId="0" applyFont="1" applyAlignment="1">
      <alignment/>
    </xf>
    <xf numFmtId="0" fontId="0" fillId="0" borderId="3" xfId="0" applyFill="1" applyBorder="1" applyAlignment="1">
      <alignment/>
    </xf>
    <xf numFmtId="0" fontId="0" fillId="12" borderId="3" xfId="0" applyFill="1" applyBorder="1" applyAlignment="1">
      <alignment/>
    </xf>
    <xf numFmtId="0" fontId="0" fillId="13" borderId="3" xfId="0" applyFill="1" applyBorder="1" applyAlignment="1">
      <alignment/>
    </xf>
    <xf numFmtId="0" fontId="17" fillId="0" borderId="21" xfId="0" applyFont="1" applyBorder="1" applyAlignment="1">
      <alignment/>
    </xf>
    <xf numFmtId="0" fontId="0" fillId="0" borderId="14" xfId="0" applyBorder="1" applyAlignment="1">
      <alignment/>
    </xf>
    <xf numFmtId="0" fontId="0" fillId="0" borderId="15" xfId="0" applyBorder="1" applyAlignment="1">
      <alignment/>
    </xf>
    <xf numFmtId="0" fontId="0" fillId="3" borderId="13" xfId="0" applyFont="1" applyFill="1" applyBorder="1" applyAlignment="1">
      <alignment wrapText="1"/>
    </xf>
    <xf numFmtId="0" fontId="0" fillId="3" borderId="11" xfId="0" applyFont="1" applyFill="1" applyBorder="1" applyAlignment="1">
      <alignment wrapText="1"/>
    </xf>
    <xf numFmtId="0" fontId="0" fillId="0" borderId="22" xfId="0" applyBorder="1" applyAlignment="1">
      <alignment wrapText="1"/>
    </xf>
    <xf numFmtId="0" fontId="0" fillId="0" borderId="3" xfId="0" applyBorder="1" applyAlignment="1">
      <alignment wrapText="1"/>
    </xf>
    <xf numFmtId="0" fontId="0" fillId="0" borderId="5" xfId="0" applyBorder="1" applyAlignment="1">
      <alignment wrapText="1"/>
    </xf>
    <xf numFmtId="9" fontId="0" fillId="0" borderId="23" xfId="27" applyFont="1" applyBorder="1" applyAlignment="1">
      <alignment wrapText="1"/>
    </xf>
    <xf numFmtId="9" fontId="0" fillId="0" borderId="0" xfId="0" applyNumberFormat="1" applyFont="1" applyAlignment="1">
      <alignment/>
    </xf>
    <xf numFmtId="0" fontId="0" fillId="0" borderId="22" xfId="0" applyBorder="1" applyAlignment="1">
      <alignment/>
    </xf>
    <xf numFmtId="0" fontId="0" fillId="0" borderId="3" xfId="0" applyBorder="1" applyAlignment="1">
      <alignment/>
    </xf>
    <xf numFmtId="9" fontId="0" fillId="0" borderId="3" xfId="27" applyBorder="1" applyAlignment="1">
      <alignment/>
    </xf>
    <xf numFmtId="0" fontId="0" fillId="0" borderId="0" xfId="0" applyBorder="1" applyAlignment="1" quotePrefix="1">
      <alignment horizontal="right"/>
    </xf>
    <xf numFmtId="1" fontId="17" fillId="12" borderId="24" xfId="0" applyNumberFormat="1" applyFont="1" applyFill="1" applyBorder="1" applyAlignment="1">
      <alignment/>
    </xf>
    <xf numFmtId="0" fontId="0" fillId="0" borderId="22" xfId="0" applyFont="1" applyFill="1" applyBorder="1" applyAlignment="1">
      <alignment/>
    </xf>
    <xf numFmtId="1" fontId="0" fillId="0" borderId="25" xfId="0" applyNumberFormat="1" applyFont="1" applyFill="1" applyBorder="1" applyAlignment="1">
      <alignment/>
    </xf>
    <xf numFmtId="0" fontId="0" fillId="0" borderId="0" xfId="0" applyBorder="1" applyAlignment="1">
      <alignment horizontal="right"/>
    </xf>
    <xf numFmtId="0" fontId="0" fillId="0" borderId="26" xfId="0" applyBorder="1" applyAlignment="1">
      <alignment/>
    </xf>
    <xf numFmtId="0" fontId="17" fillId="0" borderId="0" xfId="0" applyFont="1" applyBorder="1" applyAlignment="1">
      <alignment/>
    </xf>
    <xf numFmtId="0" fontId="17" fillId="0" borderId="26" xfId="0" applyFont="1" applyBorder="1" applyAlignment="1">
      <alignment/>
    </xf>
    <xf numFmtId="1" fontId="0" fillId="0" borderId="22" xfId="0" applyNumberFormat="1" applyFont="1" applyFill="1" applyBorder="1" applyAlignment="1">
      <alignment/>
    </xf>
    <xf numFmtId="0" fontId="0" fillId="0" borderId="26" xfId="0" applyFont="1" applyBorder="1" applyAlignment="1">
      <alignment/>
    </xf>
    <xf numFmtId="165" fontId="0" fillId="0" borderId="25" xfId="0" applyNumberFormat="1" applyFont="1" applyFill="1" applyBorder="1" applyAlignment="1">
      <alignment/>
    </xf>
    <xf numFmtId="0" fontId="17" fillId="0" borderId="27" xfId="0" applyFont="1" applyBorder="1" applyAlignment="1">
      <alignment horizontal="right"/>
    </xf>
    <xf numFmtId="9" fontId="17" fillId="0" borderId="0" xfId="27" applyFont="1" applyBorder="1" applyAlignment="1">
      <alignment/>
    </xf>
    <xf numFmtId="169" fontId="0" fillId="0" borderId="25" xfId="15" applyNumberFormat="1" applyFont="1" applyFill="1" applyBorder="1" applyAlignment="1">
      <alignment/>
    </xf>
    <xf numFmtId="0" fontId="0" fillId="0" borderId="27" xfId="0" applyFont="1" applyBorder="1" applyAlignment="1">
      <alignment/>
    </xf>
    <xf numFmtId="165" fontId="0" fillId="13" borderId="22" xfId="0" applyNumberFormat="1" applyFont="1" applyFill="1" applyBorder="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44" fontId="0" fillId="0" borderId="25" xfId="17" applyFont="1" applyFill="1" applyBorder="1" applyAlignment="1">
      <alignment/>
    </xf>
    <xf numFmtId="44" fontId="0" fillId="13" borderId="25" xfId="17" applyFont="1" applyFill="1" applyBorder="1" applyAlignment="1">
      <alignment/>
    </xf>
    <xf numFmtId="9" fontId="0" fillId="0" borderId="22" xfId="27" applyFont="1" applyFill="1" applyBorder="1" applyAlignment="1">
      <alignment/>
    </xf>
    <xf numFmtId="9" fontId="0" fillId="0" borderId="25" xfId="27" applyFont="1" applyFill="1" applyBorder="1" applyAlignment="1">
      <alignment/>
    </xf>
    <xf numFmtId="1" fontId="0" fillId="13" borderId="25" xfId="0" applyNumberFormat="1" applyFont="1" applyFill="1" applyBorder="1" applyAlignment="1">
      <alignment/>
    </xf>
    <xf numFmtId="1" fontId="0" fillId="13" borderId="31" xfId="0" applyNumberFormat="1" applyFont="1" applyFill="1" applyBorder="1" applyAlignment="1">
      <alignment/>
    </xf>
    <xf numFmtId="0" fontId="17" fillId="0" borderId="0" xfId="0" applyFont="1" applyAlignment="1">
      <alignment/>
    </xf>
    <xf numFmtId="44" fontId="0" fillId="12" borderId="32" xfId="17" applyFill="1" applyBorder="1" applyAlignment="1">
      <alignment/>
    </xf>
    <xf numFmtId="44" fontId="0" fillId="12" borderId="25" xfId="17" applyFont="1" applyFill="1" applyBorder="1" applyAlignment="1">
      <alignment/>
    </xf>
    <xf numFmtId="44" fontId="0" fillId="13" borderId="31" xfId="17" applyFill="1" applyBorder="1" applyAlignment="1">
      <alignment/>
    </xf>
    <xf numFmtId="0" fontId="0" fillId="3" borderId="3" xfId="0" applyFill="1" applyBorder="1" applyAlignment="1">
      <alignment wrapText="1"/>
    </xf>
    <xf numFmtId="44" fontId="0" fillId="0" borderId="3" xfId="17" applyBorder="1" applyAlignment="1">
      <alignment/>
    </xf>
    <xf numFmtId="169" fontId="0" fillId="0" borderId="3" xfId="15" applyNumberFormat="1" applyBorder="1" applyAlignment="1">
      <alignment/>
    </xf>
    <xf numFmtId="0" fontId="17" fillId="0" borderId="33" xfId="0" applyFont="1" applyBorder="1" applyAlignment="1">
      <alignment/>
    </xf>
    <xf numFmtId="0" fontId="0" fillId="11" borderId="34" xfId="0" applyFill="1" applyBorder="1" applyAlignment="1">
      <alignment/>
    </xf>
    <xf numFmtId="0" fontId="17" fillId="0" borderId="35" xfId="0" applyFont="1" applyBorder="1" applyAlignment="1">
      <alignment/>
    </xf>
    <xf numFmtId="0" fontId="0" fillId="13" borderId="36" xfId="0" applyFill="1" applyBorder="1" applyAlignment="1">
      <alignment/>
    </xf>
    <xf numFmtId="0" fontId="17" fillId="12" borderId="16" xfId="0" applyFont="1" applyFill="1" applyBorder="1" applyAlignment="1">
      <alignment/>
    </xf>
    <xf numFmtId="0" fontId="17" fillId="12" borderId="37" xfId="0" applyFont="1" applyFill="1" applyBorder="1" applyAlignment="1">
      <alignment/>
    </xf>
    <xf numFmtId="0" fontId="17" fillId="12" borderId="38" xfId="0" applyFont="1" applyFill="1" applyBorder="1" applyAlignment="1">
      <alignment wrapText="1"/>
    </xf>
    <xf numFmtId="0" fontId="0" fillId="0" borderId="39" xfId="0" applyBorder="1" applyAlignment="1">
      <alignment/>
    </xf>
    <xf numFmtId="9" fontId="0" fillId="11" borderId="9" xfId="27" applyFill="1" applyBorder="1" applyAlignment="1">
      <alignment/>
    </xf>
    <xf numFmtId="9" fontId="0" fillId="13" borderId="40" xfId="0" applyNumberFormat="1" applyFill="1" applyBorder="1" applyAlignment="1">
      <alignment/>
    </xf>
    <xf numFmtId="9" fontId="0" fillId="11" borderId="3" xfId="27" applyFill="1" applyBorder="1" applyAlignment="1">
      <alignment/>
    </xf>
    <xf numFmtId="9" fontId="0" fillId="13" borderId="41" xfId="27" applyFill="1" applyBorder="1" applyAlignment="1">
      <alignment/>
    </xf>
    <xf numFmtId="9" fontId="0" fillId="11" borderId="3" xfId="0" applyNumberFormat="1" applyFill="1" applyBorder="1" applyAlignment="1">
      <alignment/>
    </xf>
    <xf numFmtId="9" fontId="0" fillId="13" borderId="41" xfId="0" applyNumberFormat="1" applyFill="1" applyBorder="1" applyAlignment="1">
      <alignment/>
    </xf>
    <xf numFmtId="9" fontId="0" fillId="11" borderId="41" xfId="27" applyFill="1" applyBorder="1" applyAlignment="1">
      <alignment/>
    </xf>
    <xf numFmtId="0" fontId="0" fillId="0" borderId="41" xfId="0" applyBorder="1" applyAlignment="1">
      <alignment/>
    </xf>
    <xf numFmtId="0" fontId="0" fillId="0" borderId="35" xfId="0" applyBorder="1" applyAlignment="1">
      <alignment/>
    </xf>
    <xf numFmtId="9" fontId="0" fillId="11" borderId="42" xfId="0" applyNumberFormat="1" applyFill="1" applyBorder="1" applyAlignment="1">
      <alignment/>
    </xf>
    <xf numFmtId="9" fontId="0" fillId="13" borderId="36" xfId="27" applyFill="1" applyBorder="1" applyAlignment="1">
      <alignment/>
    </xf>
    <xf numFmtId="9" fontId="0" fillId="0" borderId="0" xfId="27" applyBorder="1" applyAlignment="1">
      <alignment/>
    </xf>
    <xf numFmtId="0" fontId="0" fillId="0" borderId="20" xfId="0" applyFill="1" applyBorder="1" applyAlignment="1">
      <alignment/>
    </xf>
    <xf numFmtId="0" fontId="0" fillId="0" borderId="0" xfId="0" applyFill="1" applyBorder="1" applyAlignment="1">
      <alignment/>
    </xf>
    <xf numFmtId="0" fontId="0" fillId="12" borderId="16" xfId="0" applyFill="1" applyBorder="1" applyAlignment="1">
      <alignment wrapText="1"/>
    </xf>
    <xf numFmtId="0" fontId="0" fillId="12" borderId="37" xfId="0" applyFill="1" applyBorder="1" applyAlignment="1">
      <alignment wrapText="1"/>
    </xf>
    <xf numFmtId="0" fontId="0" fillId="12" borderId="38" xfId="0" applyFill="1" applyBorder="1" applyAlignment="1">
      <alignment wrapText="1"/>
    </xf>
    <xf numFmtId="9" fontId="0" fillId="13" borderId="3" xfId="27" applyFill="1" applyBorder="1" applyAlignment="1">
      <alignment/>
    </xf>
    <xf numFmtId="9" fontId="0" fillId="13" borderId="3" xfId="0" applyNumberFormat="1" applyFill="1" applyBorder="1" applyAlignment="1">
      <alignment/>
    </xf>
    <xf numFmtId="0" fontId="0" fillId="0" borderId="35" xfId="0" applyFill="1" applyBorder="1" applyAlignment="1">
      <alignment/>
    </xf>
    <xf numFmtId="9" fontId="0" fillId="13" borderId="42" xfId="0" applyNumberFormat="1" applyFill="1" applyBorder="1" applyAlignment="1">
      <alignment/>
    </xf>
    <xf numFmtId="0" fontId="0" fillId="0" borderId="43" xfId="0" applyFill="1" applyBorder="1" applyAlignment="1">
      <alignment/>
    </xf>
    <xf numFmtId="0" fontId="24" fillId="0" borderId="0" xfId="23" applyAlignment="1" quotePrefix="1">
      <alignment horizontal="left"/>
      <protection/>
    </xf>
    <xf numFmtId="0" fontId="24" fillId="0" borderId="0" xfId="23">
      <alignment/>
      <protection/>
    </xf>
    <xf numFmtId="0" fontId="24" fillId="0" borderId="0" xfId="23" applyAlignment="1">
      <alignment horizontal="left"/>
      <protection/>
    </xf>
    <xf numFmtId="0" fontId="24" fillId="0" borderId="3" xfId="23" applyBorder="1">
      <alignment/>
      <protection/>
    </xf>
    <xf numFmtId="0" fontId="24" fillId="0" borderId="3" xfId="23" applyBorder="1" applyAlignment="1">
      <alignment horizontal="centerContinuous"/>
      <protection/>
    </xf>
    <xf numFmtId="0" fontId="24" fillId="0" borderId="3" xfId="23" applyBorder="1" applyAlignment="1">
      <alignment horizontal="right"/>
      <protection/>
    </xf>
    <xf numFmtId="9" fontId="24" fillId="0" borderId="3" xfId="27" applyBorder="1" applyAlignment="1">
      <alignment/>
    </xf>
    <xf numFmtId="0" fontId="24" fillId="0" borderId="3" xfId="23" applyBorder="1" applyAlignment="1" quotePrefix="1">
      <alignment horizontal="right"/>
      <protection/>
    </xf>
    <xf numFmtId="9" fontId="24" fillId="0" borderId="0" xfId="23" applyNumberFormat="1">
      <alignment/>
      <protection/>
    </xf>
    <xf numFmtId="0" fontId="24" fillId="0" borderId="3" xfId="23" applyBorder="1" applyAlignment="1" quotePrefix="1">
      <alignment horizontal="left"/>
      <protection/>
    </xf>
    <xf numFmtId="0" fontId="24" fillId="0" borderId="3" xfId="0" applyFont="1" applyBorder="1" applyAlignment="1">
      <alignment/>
    </xf>
    <xf numFmtId="9" fontId="24" fillId="0" borderId="3" xfId="0" applyNumberFormat="1" applyFont="1" applyBorder="1" applyAlignment="1">
      <alignment/>
    </xf>
    <xf numFmtId="1" fontId="24" fillId="0" borderId="3" xfId="0" applyNumberFormat="1" applyFont="1" applyBorder="1" applyAlignment="1">
      <alignment/>
    </xf>
    <xf numFmtId="164" fontId="24" fillId="0" borderId="3" xfId="0" applyNumberFormat="1" applyFont="1" applyBorder="1" applyAlignment="1">
      <alignment/>
    </xf>
    <xf numFmtId="169" fontId="24" fillId="0" borderId="3" xfId="15" applyNumberFormat="1" applyFont="1" applyBorder="1" applyAlignment="1">
      <alignment/>
    </xf>
    <xf numFmtId="0" fontId="24" fillId="0" borderId="3" xfId="23" applyFont="1" applyBorder="1">
      <alignment/>
      <protection/>
    </xf>
    <xf numFmtId="0" fontId="24" fillId="0" borderId="3" xfId="23" applyFont="1" applyBorder="1" applyAlignment="1">
      <alignment horizontal="right"/>
      <protection/>
    </xf>
    <xf numFmtId="9" fontId="24" fillId="0" borderId="3" xfId="27" applyNumberFormat="1" applyBorder="1" applyAlignment="1">
      <alignment/>
    </xf>
    <xf numFmtId="0" fontId="24" fillId="0" borderId="3" xfId="23" applyBorder="1" applyAlignment="1">
      <alignment wrapText="1"/>
      <protection/>
    </xf>
    <xf numFmtId="0" fontId="24" fillId="0" borderId="3" xfId="23" applyBorder="1" applyAlignment="1">
      <alignment horizontal="centerContinuous" wrapText="1"/>
      <protection/>
    </xf>
    <xf numFmtId="0" fontId="24" fillId="0" borderId="0" xfId="23" applyFont="1">
      <alignment/>
      <protection/>
    </xf>
    <xf numFmtId="9" fontId="24" fillId="0" borderId="0" xfId="27" applyAlignment="1">
      <alignment/>
    </xf>
    <xf numFmtId="169" fontId="24" fillId="0" borderId="3" xfId="15" applyNumberFormat="1" applyBorder="1" applyAlignment="1">
      <alignment/>
    </xf>
    <xf numFmtId="9" fontId="24" fillId="0" borderId="3" xfId="23" applyNumberFormat="1" applyBorder="1">
      <alignment/>
      <protection/>
    </xf>
    <xf numFmtId="169" fontId="24" fillId="0" borderId="3" xfId="15" applyNumberFormat="1" applyFont="1" applyBorder="1" applyAlignment="1">
      <alignment/>
    </xf>
    <xf numFmtId="169" fontId="24" fillId="0" borderId="3" xfId="23" applyNumberFormat="1" applyBorder="1">
      <alignment/>
      <protection/>
    </xf>
    <xf numFmtId="9" fontId="24" fillId="0" borderId="3" xfId="27" applyFont="1" applyBorder="1" applyAlignment="1">
      <alignment wrapText="1"/>
    </xf>
    <xf numFmtId="9" fontId="24" fillId="0" borderId="3" xfId="27" applyFont="1" applyBorder="1" applyAlignment="1">
      <alignment/>
    </xf>
    <xf numFmtId="9" fontId="24" fillId="0" borderId="3" xfId="27" applyNumberFormat="1" applyFont="1" applyBorder="1" applyAlignment="1">
      <alignment/>
    </xf>
    <xf numFmtId="0" fontId="24" fillId="0" borderId="0" xfId="0" applyFont="1" applyAlignment="1">
      <alignment/>
    </xf>
    <xf numFmtId="0" fontId="25" fillId="13" borderId="3" xfId="0" applyFont="1" applyFill="1" applyBorder="1" applyAlignment="1">
      <alignment/>
    </xf>
    <xf numFmtId="0" fontId="26" fillId="0" borderId="0" xfId="0" applyFont="1" applyAlignment="1">
      <alignment/>
    </xf>
    <xf numFmtId="0" fontId="27" fillId="0" borderId="3" xfId="0" applyFont="1" applyBorder="1" applyAlignment="1">
      <alignment wrapText="1"/>
    </xf>
    <xf numFmtId="0" fontId="28" fillId="0" borderId="9" xfId="0" applyFont="1" applyBorder="1" applyAlignment="1">
      <alignment vertical="top" wrapText="1"/>
    </xf>
    <xf numFmtId="0" fontId="28" fillId="0" borderId="18" xfId="0" applyFont="1" applyBorder="1" applyAlignment="1">
      <alignment vertical="top" wrapText="1"/>
    </xf>
    <xf numFmtId="43" fontId="28" fillId="0" borderId="18" xfId="15" applyFont="1" applyBorder="1" applyAlignment="1">
      <alignment vertical="top" wrapText="1"/>
    </xf>
    <xf numFmtId="0" fontId="0" fillId="0" borderId="3" xfId="0" applyFont="1" applyBorder="1" applyAlignment="1">
      <alignment/>
    </xf>
    <xf numFmtId="0" fontId="24" fillId="0" borderId="0" xfId="24">
      <alignment/>
      <protection/>
    </xf>
    <xf numFmtId="0" fontId="24" fillId="0" borderId="0" xfId="24" applyFont="1">
      <alignment/>
      <protection/>
    </xf>
    <xf numFmtId="9" fontId="0" fillId="0" borderId="0" xfId="27" applyAlignment="1">
      <alignment/>
    </xf>
    <xf numFmtId="9" fontId="0" fillId="0" borderId="0" xfId="27" applyNumberFormat="1" applyAlignment="1">
      <alignment/>
    </xf>
    <xf numFmtId="180" fontId="0" fillId="0" borderId="0" xfId="0" applyNumberFormat="1" applyAlignment="1">
      <alignment/>
    </xf>
    <xf numFmtId="169" fontId="0" fillId="0" borderId="0" xfId="15" applyNumberFormat="1" applyAlignment="1">
      <alignment/>
    </xf>
    <xf numFmtId="0" fontId="0" fillId="0" borderId="0" xfId="0" applyAlignment="1">
      <alignment wrapText="1"/>
    </xf>
    <xf numFmtId="181" fontId="0" fillId="0" borderId="0" xfId="0" applyNumberFormat="1" applyAlignment="1">
      <alignment/>
    </xf>
    <xf numFmtId="9" fontId="0" fillId="0" borderId="0" xfId="27" applyFont="1" applyBorder="1" applyAlignment="1">
      <alignment/>
    </xf>
    <xf numFmtId="165" fontId="11" fillId="0" borderId="0" xfId="0" applyNumberFormat="1" applyFont="1" applyAlignment="1">
      <alignment/>
    </xf>
    <xf numFmtId="0" fontId="12" fillId="0" borderId="0" xfId="0" applyFont="1" applyAlignment="1">
      <alignment horizontal="left" wrapText="1" indent="2"/>
    </xf>
    <xf numFmtId="0" fontId="12" fillId="0" borderId="0" xfId="0" applyFont="1" applyAlignment="1">
      <alignment horizontal="left" wrapText="1" indent="3"/>
    </xf>
    <xf numFmtId="0" fontId="12" fillId="0" borderId="3" xfId="0" applyFont="1" applyBorder="1" applyAlignment="1">
      <alignment horizontal="left" wrapText="1" indent="1"/>
    </xf>
    <xf numFmtId="0" fontId="12" fillId="0" borderId="3" xfId="0" applyFont="1" applyBorder="1" applyAlignment="1">
      <alignment horizontal="right" wrapText="1"/>
    </xf>
    <xf numFmtId="0" fontId="12" fillId="0" borderId="3" xfId="0" applyFont="1" applyBorder="1" applyAlignment="1">
      <alignment horizontal="center" wrapText="1"/>
    </xf>
    <xf numFmtId="0" fontId="12" fillId="0" borderId="3" xfId="0" applyFont="1" applyBorder="1" applyAlignment="1">
      <alignment horizontal="left" wrapText="1" indent="2"/>
    </xf>
    <xf numFmtId="0" fontId="12" fillId="0" borderId="0" xfId="0" applyFont="1" applyAlignment="1">
      <alignment wrapText="1"/>
    </xf>
    <xf numFmtId="0" fontId="12" fillId="0" borderId="24" xfId="0" applyFont="1" applyBorder="1" applyAlignment="1">
      <alignment wrapText="1"/>
    </xf>
    <xf numFmtId="0" fontId="12" fillId="0" borderId="30" xfId="0" applyFont="1" applyBorder="1" applyAlignment="1">
      <alignment horizontal="center" wrapText="1"/>
    </xf>
    <xf numFmtId="0" fontId="12" fillId="0" borderId="0" xfId="0" applyFont="1" applyAlignment="1">
      <alignment horizontal="left" indent="4"/>
    </xf>
    <xf numFmtId="0" fontId="29" fillId="0" borderId="0" xfId="0" applyFont="1" applyAlignment="1">
      <alignment horizontal="left" indent="4"/>
    </xf>
    <xf numFmtId="0" fontId="30" fillId="0" borderId="0" xfId="0" applyFont="1" applyAlignment="1">
      <alignment/>
    </xf>
    <xf numFmtId="0" fontId="12" fillId="0" borderId="3" xfId="0" applyFont="1" applyBorder="1" applyAlignment="1">
      <alignment horizontal="right" vertical="top" wrapText="1"/>
    </xf>
    <xf numFmtId="0" fontId="12" fillId="0" borderId="3" xfId="0" applyFont="1" applyBorder="1" applyAlignment="1">
      <alignment horizontal="center" vertical="top" wrapText="1"/>
    </xf>
    <xf numFmtId="0" fontId="0" fillId="0" borderId="3" xfId="0" applyFont="1" applyBorder="1" applyAlignment="1">
      <alignment vertical="top" wrapText="1"/>
    </xf>
    <xf numFmtId="3" fontId="12" fillId="0" borderId="3" xfId="0" applyNumberFormat="1" applyFont="1" applyBorder="1" applyAlignment="1">
      <alignment horizontal="right" wrapText="1"/>
    </xf>
    <xf numFmtId="0" fontId="12" fillId="0" borderId="3" xfId="0" applyFont="1" applyBorder="1" applyAlignment="1">
      <alignment wrapText="1"/>
    </xf>
    <xf numFmtId="169" fontId="0" fillId="0" borderId="3" xfId="15" applyNumberFormat="1" applyFont="1" applyBorder="1" applyAlignment="1">
      <alignment/>
    </xf>
    <xf numFmtId="0" fontId="12" fillId="0" borderId="3" xfId="0" applyFont="1" applyBorder="1" applyAlignment="1">
      <alignment horizontal="left" vertical="top" wrapText="1" indent="4"/>
    </xf>
    <xf numFmtId="3" fontId="12" fillId="0" borderId="3" xfId="0" applyNumberFormat="1" applyFont="1" applyBorder="1" applyAlignment="1">
      <alignment horizontal="right" vertical="top" wrapText="1"/>
    </xf>
    <xf numFmtId="9" fontId="0" fillId="0" borderId="3" xfId="27" applyFont="1" applyBorder="1" applyAlignment="1">
      <alignment/>
    </xf>
    <xf numFmtId="0" fontId="12" fillId="0" borderId="3" xfId="0" applyFont="1" applyFill="1" applyBorder="1" applyAlignment="1">
      <alignment horizontal="center" vertical="top" wrapText="1"/>
    </xf>
    <xf numFmtId="165" fontId="12" fillId="0" borderId="3" xfId="0" applyNumberFormat="1" applyFont="1" applyBorder="1" applyAlignment="1">
      <alignment horizontal="center" wrapText="1"/>
    </xf>
    <xf numFmtId="0" fontId="12" fillId="0" borderId="5" xfId="0" applyFont="1" applyBorder="1" applyAlignment="1">
      <alignment wrapText="1"/>
    </xf>
    <xf numFmtId="0" fontId="12" fillId="0" borderId="7" xfId="0" applyFont="1" applyBorder="1" applyAlignment="1">
      <alignment horizontal="center" wrapText="1"/>
    </xf>
    <xf numFmtId="3" fontId="12" fillId="0" borderId="4" xfId="0" applyNumberFormat="1" applyFont="1" applyBorder="1" applyAlignment="1">
      <alignment horizontal="right" wrapText="1"/>
    </xf>
    <xf numFmtId="169" fontId="0" fillId="12" borderId="13" xfId="15" applyNumberFormat="1" applyFont="1" applyFill="1" applyBorder="1" applyAlignment="1">
      <alignment/>
    </xf>
    <xf numFmtId="0" fontId="31" fillId="11" borderId="3" xfId="0" applyFont="1" applyFill="1" applyBorder="1" applyAlignment="1">
      <alignment horizontal="left" wrapText="1" indent="1"/>
    </xf>
    <xf numFmtId="166" fontId="12" fillId="0" borderId="3" xfId="0" applyNumberFormat="1" applyFont="1" applyBorder="1" applyAlignment="1">
      <alignment horizontal="left" wrapText="1" indent="2"/>
    </xf>
    <xf numFmtId="43" fontId="0" fillId="0" borderId="0" xfId="0" applyNumberFormat="1" applyFont="1" applyAlignment="1">
      <alignment/>
    </xf>
    <xf numFmtId="168" fontId="0" fillId="0" borderId="0" xfId="26" applyNumberFormat="1" applyFont="1" applyAlignment="1">
      <alignment/>
      <protection/>
    </xf>
    <xf numFmtId="1" fontId="0" fillId="0" borderId="0" xfId="26" applyNumberFormat="1" applyFont="1" applyAlignment="1">
      <alignment/>
      <protection/>
    </xf>
    <xf numFmtId="1" fontId="0" fillId="0" borderId="0" xfId="0" applyNumberFormat="1" applyAlignment="1">
      <alignment horizontal="center"/>
    </xf>
    <xf numFmtId="9" fontId="0" fillId="12" borderId="11" xfId="27" applyFont="1" applyFill="1" applyBorder="1" applyAlignment="1">
      <alignment/>
    </xf>
    <xf numFmtId="0" fontId="31" fillId="0" borderId="21" xfId="0" applyFont="1" applyBorder="1" applyAlignment="1">
      <alignment horizontal="left" indent="4"/>
    </xf>
    <xf numFmtId="9" fontId="17" fillId="0" borderId="14" xfId="27" applyFont="1" applyBorder="1" applyAlignment="1">
      <alignment/>
    </xf>
    <xf numFmtId="9" fontId="17" fillId="0" borderId="15" xfId="27" applyFont="1" applyBorder="1" applyAlignment="1">
      <alignment/>
    </xf>
    <xf numFmtId="0" fontId="31" fillId="11" borderId="22" xfId="0" applyFont="1" applyFill="1" applyBorder="1" applyAlignment="1">
      <alignment wrapText="1"/>
    </xf>
    <xf numFmtId="0" fontId="31" fillId="11" borderId="41" xfId="0" applyFont="1" applyFill="1" applyBorder="1" applyAlignment="1">
      <alignment horizontal="left" wrapText="1" indent="1"/>
    </xf>
    <xf numFmtId="0" fontId="12" fillId="0" borderId="22" xfId="0" applyFont="1" applyFill="1" applyBorder="1" applyAlignment="1">
      <alignment horizontal="left" wrapText="1"/>
    </xf>
    <xf numFmtId="0" fontId="12" fillId="0" borderId="22" xfId="0" applyFont="1" applyBorder="1" applyAlignment="1">
      <alignment horizontal="left" wrapText="1"/>
    </xf>
    <xf numFmtId="0" fontId="0" fillId="0" borderId="22" xfId="0" applyFont="1" applyBorder="1" applyAlignment="1">
      <alignment horizontal="left"/>
    </xf>
    <xf numFmtId="0" fontId="0" fillId="0" borderId="22" xfId="0" applyFont="1" applyFill="1" applyBorder="1" applyAlignment="1">
      <alignment horizontal="left"/>
    </xf>
    <xf numFmtId="165" fontId="0" fillId="0" borderId="3" xfId="0" applyNumberFormat="1" applyFont="1" applyBorder="1" applyAlignment="1">
      <alignment horizontal="right"/>
    </xf>
    <xf numFmtId="180" fontId="0" fillId="0" borderId="40" xfId="15" applyNumberFormat="1" applyFont="1" applyBorder="1" applyAlignment="1">
      <alignment horizontal="right"/>
    </xf>
    <xf numFmtId="1" fontId="0" fillId="0" borderId="3" xfId="0" applyNumberFormat="1" applyFont="1" applyBorder="1" applyAlignment="1">
      <alignment horizontal="right"/>
    </xf>
    <xf numFmtId="169" fontId="0" fillId="0" borderId="41" xfId="15" applyNumberFormat="1" applyFont="1" applyBorder="1" applyAlignment="1">
      <alignment horizontal="right"/>
    </xf>
    <xf numFmtId="0" fontId="0" fillId="0" borderId="3" xfId="0" applyFont="1" applyBorder="1" applyAlignment="1">
      <alignment horizontal="right"/>
    </xf>
    <xf numFmtId="169" fontId="0" fillId="0" borderId="3" xfId="15" applyNumberFormat="1" applyFont="1" applyBorder="1" applyAlignment="1">
      <alignment horizontal="right"/>
    </xf>
    <xf numFmtId="9" fontId="12" fillId="0" borderId="3" xfId="27" applyFont="1" applyFill="1" applyBorder="1" applyAlignment="1">
      <alignment horizontal="right" wrapText="1"/>
    </xf>
    <xf numFmtId="9" fontId="0" fillId="0" borderId="3" xfId="27" applyFont="1" applyBorder="1" applyAlignment="1">
      <alignment horizontal="right"/>
    </xf>
    <xf numFmtId="0" fontId="0" fillId="0" borderId="44" xfId="0" applyFont="1" applyBorder="1" applyAlignment="1">
      <alignment horizontal="right"/>
    </xf>
    <xf numFmtId="165" fontId="12" fillId="0" borderId="3" xfId="0" applyNumberFormat="1" applyFont="1" applyBorder="1" applyAlignment="1">
      <alignment horizontal="right" wrapText="1"/>
    </xf>
    <xf numFmtId="165" fontId="0" fillId="0" borderId="5" xfId="0" applyNumberFormat="1" applyFont="1" applyBorder="1" applyAlignment="1">
      <alignment horizontal="right"/>
    </xf>
    <xf numFmtId="0" fontId="17" fillId="14" borderId="13" xfId="0" applyFont="1" applyFill="1" applyBorder="1" applyAlignment="1">
      <alignment horizontal="right"/>
    </xf>
    <xf numFmtId="169" fontId="0" fillId="0" borderId="5" xfId="15" applyNumberFormat="1" applyFont="1" applyBorder="1" applyAlignment="1">
      <alignment horizontal="right"/>
    </xf>
    <xf numFmtId="169" fontId="0" fillId="0" borderId="44" xfId="15" applyNumberFormat="1" applyFont="1" applyBorder="1" applyAlignment="1">
      <alignment horizontal="right"/>
    </xf>
    <xf numFmtId="169" fontId="0" fillId="0" borderId="40" xfId="15" applyNumberFormat="1" applyFont="1" applyBorder="1" applyAlignment="1">
      <alignment horizontal="right"/>
    </xf>
    <xf numFmtId="169" fontId="17" fillId="12" borderId="13" xfId="15" applyNumberFormat="1" applyFont="1" applyFill="1" applyBorder="1" applyAlignment="1">
      <alignment horizontal="right"/>
    </xf>
    <xf numFmtId="0" fontId="0" fillId="0" borderId="25" xfId="0" applyFont="1" applyFill="1" applyBorder="1" applyAlignment="1">
      <alignment/>
    </xf>
    <xf numFmtId="165" fontId="0" fillId="13" borderId="25" xfId="0" applyNumberFormat="1" applyFont="1" applyFill="1" applyBorder="1" applyAlignment="1">
      <alignment/>
    </xf>
    <xf numFmtId="0" fontId="0" fillId="0" borderId="45" xfId="0" applyBorder="1" applyAlignment="1">
      <alignment/>
    </xf>
    <xf numFmtId="0" fontId="0" fillId="12" borderId="25" xfId="0" applyFont="1" applyFill="1" applyBorder="1" applyAlignment="1">
      <alignment/>
    </xf>
    <xf numFmtId="9" fontId="0" fillId="12" borderId="23" xfId="27" applyFont="1" applyFill="1" applyBorder="1" applyAlignment="1">
      <alignment wrapText="1"/>
    </xf>
    <xf numFmtId="165" fontId="0" fillId="12" borderId="25" xfId="0" applyNumberFormat="1" applyFont="1" applyFill="1" applyBorder="1" applyAlignment="1">
      <alignment/>
    </xf>
    <xf numFmtId="44" fontId="0" fillId="0" borderId="0" xfId="26" applyNumberFormat="1" applyFont="1" applyAlignment="1">
      <alignment horizontal="right"/>
      <protection/>
    </xf>
    <xf numFmtId="44" fontId="0" fillId="13" borderId="3" xfId="0" applyNumberFormat="1" applyFont="1" applyFill="1" applyBorder="1" applyAlignment="1">
      <alignment/>
    </xf>
    <xf numFmtId="0" fontId="0" fillId="13" borderId="3" xfId="0" applyFont="1" applyFill="1" applyBorder="1" applyAlignment="1">
      <alignment/>
    </xf>
    <xf numFmtId="169" fontId="0" fillId="0" borderId="46" xfId="0" applyNumberFormat="1" applyFont="1" applyBorder="1" applyAlignment="1">
      <alignment horizontal="left"/>
    </xf>
    <xf numFmtId="169" fontId="0" fillId="0" borderId="4" xfId="15" applyNumberFormat="1" applyFont="1" applyBorder="1" applyAlignment="1">
      <alignment horizontal="right"/>
    </xf>
    <xf numFmtId="1" fontId="0" fillId="13" borderId="3" xfId="0" applyNumberFormat="1" applyFont="1" applyFill="1" applyBorder="1" applyAlignment="1">
      <alignment/>
    </xf>
    <xf numFmtId="0" fontId="0" fillId="0" borderId="33" xfId="0" applyFont="1" applyFill="1" applyBorder="1" applyAlignment="1">
      <alignment horizontal="left"/>
    </xf>
    <xf numFmtId="0" fontId="12" fillId="0" borderId="3" xfId="0" applyFont="1" applyBorder="1" applyAlignment="1">
      <alignment horizontal="center" wrapText="1"/>
    </xf>
    <xf numFmtId="0" fontId="12" fillId="0" borderId="3" xfId="0" applyFont="1" applyBorder="1" applyAlignment="1">
      <alignment wrapText="1"/>
    </xf>
    <xf numFmtId="0" fontId="12" fillId="0" borderId="3" xfId="0" applyFont="1" applyBorder="1" applyAlignment="1">
      <alignment horizontal="left" vertical="top" wrapText="1" indent="4"/>
    </xf>
    <xf numFmtId="0" fontId="0" fillId="0" borderId="47" xfId="0" applyFont="1" applyBorder="1" applyAlignment="1">
      <alignment/>
    </xf>
    <xf numFmtId="0" fontId="0" fillId="0" borderId="34" xfId="0" applyFont="1" applyBorder="1" applyAlignment="1">
      <alignment/>
    </xf>
    <xf numFmtId="9" fontId="0" fillId="0" borderId="22" xfId="27" applyFont="1" applyBorder="1" applyAlignment="1">
      <alignment/>
    </xf>
    <xf numFmtId="9" fontId="0" fillId="0" borderId="41" xfId="27" applyFont="1" applyBorder="1" applyAlignment="1">
      <alignment/>
    </xf>
    <xf numFmtId="1" fontId="0" fillId="13" borderId="42" xfId="0" applyNumberFormat="1" applyFont="1" applyFill="1" applyBorder="1" applyAlignment="1">
      <alignment/>
    </xf>
    <xf numFmtId="9" fontId="0" fillId="0" borderId="46" xfId="27" applyFont="1" applyBorder="1" applyAlignment="1">
      <alignment/>
    </xf>
    <xf numFmtId="9" fontId="0" fillId="0" borderId="4" xfId="27" applyFont="1" applyBorder="1" applyAlignment="1">
      <alignment/>
    </xf>
    <xf numFmtId="9" fontId="0" fillId="0" borderId="44" xfId="27" applyFont="1" applyBorder="1" applyAlignment="1">
      <alignment/>
    </xf>
    <xf numFmtId="44" fontId="0" fillId="13" borderId="47" xfId="0" applyNumberFormat="1" applyFont="1" applyFill="1" applyBorder="1" applyAlignment="1">
      <alignment/>
    </xf>
    <xf numFmtId="0" fontId="0" fillId="13" borderId="47" xfId="0" applyFont="1" applyFill="1" applyBorder="1" applyAlignment="1">
      <alignment/>
    </xf>
    <xf numFmtId="0" fontId="0" fillId="13" borderId="33" xfId="0" applyFont="1" applyFill="1" applyBorder="1" applyAlignment="1">
      <alignment horizontal="right"/>
    </xf>
    <xf numFmtId="0" fontId="0" fillId="13" borderId="22" xfId="0" applyFill="1" applyBorder="1" applyAlignment="1">
      <alignment horizontal="right"/>
    </xf>
    <xf numFmtId="0" fontId="0" fillId="13" borderId="22" xfId="0" applyFont="1" applyFill="1" applyBorder="1" applyAlignment="1">
      <alignment/>
    </xf>
    <xf numFmtId="0" fontId="0" fillId="13" borderId="35" xfId="0" applyFont="1" applyFill="1" applyBorder="1" applyAlignment="1">
      <alignment/>
    </xf>
    <xf numFmtId="0" fontId="0" fillId="13" borderId="48" xfId="0" applyFont="1" applyFill="1" applyBorder="1" applyAlignment="1">
      <alignment/>
    </xf>
    <xf numFmtId="0" fontId="0" fillId="13" borderId="5" xfId="0" applyFont="1" applyFill="1" applyBorder="1" applyAlignment="1">
      <alignment/>
    </xf>
    <xf numFmtId="1" fontId="0" fillId="13" borderId="5" xfId="0" applyNumberFormat="1" applyFont="1" applyFill="1" applyBorder="1" applyAlignment="1">
      <alignment/>
    </xf>
    <xf numFmtId="44" fontId="0" fillId="13" borderId="32" xfId="0" applyNumberFormat="1" applyFont="1" applyFill="1" applyBorder="1" applyAlignment="1">
      <alignment/>
    </xf>
    <xf numFmtId="44" fontId="0" fillId="13" borderId="25" xfId="0" applyNumberFormat="1" applyFont="1" applyFill="1" applyBorder="1" applyAlignment="1">
      <alignment/>
    </xf>
    <xf numFmtId="1" fontId="0" fillId="13" borderId="49" xfId="0" applyNumberFormat="1" applyFont="1" applyFill="1" applyBorder="1" applyAlignment="1">
      <alignment/>
    </xf>
    <xf numFmtId="1" fontId="0" fillId="13" borderId="13" xfId="0" applyNumberFormat="1" applyFont="1" applyFill="1" applyBorder="1" applyAlignment="1">
      <alignment/>
    </xf>
    <xf numFmtId="0" fontId="18" fillId="11" borderId="12" xfId="0" applyFont="1" applyFill="1" applyBorder="1" applyAlignment="1">
      <alignment horizontal="center" wrapText="1"/>
    </xf>
    <xf numFmtId="0" fontId="18" fillId="11" borderId="10" xfId="0" applyFont="1" applyFill="1" applyBorder="1" applyAlignment="1">
      <alignment horizontal="center" wrapText="1"/>
    </xf>
    <xf numFmtId="0" fontId="18" fillId="11" borderId="11" xfId="0" applyFont="1" applyFill="1" applyBorder="1" applyAlignment="1">
      <alignment horizontal="center" wrapText="1"/>
    </xf>
    <xf numFmtId="0" fontId="18" fillId="11" borderId="50" xfId="0" applyFont="1" applyFill="1" applyBorder="1" applyAlignment="1">
      <alignment horizontal="center" wrapText="1"/>
    </xf>
    <xf numFmtId="0" fontId="18" fillId="11" borderId="17" xfId="0" applyFont="1" applyFill="1" applyBorder="1" applyAlignment="1">
      <alignment horizontal="center" wrapText="1"/>
    </xf>
    <xf numFmtId="0" fontId="0" fillId="2" borderId="5" xfId="19" applyFont="1" applyBorder="1" applyAlignment="1">
      <alignment horizontal="left" vertical="center" wrapText="1"/>
      <protection/>
    </xf>
    <xf numFmtId="0" fontId="0" fillId="2" borderId="6" xfId="19" applyFont="1" applyBorder="1" applyAlignment="1">
      <alignment horizontal="left" vertical="center" wrapText="1"/>
      <protection/>
    </xf>
    <xf numFmtId="0" fontId="0" fillId="2" borderId="7" xfId="19" applyFont="1" applyBorder="1" applyAlignment="1">
      <alignment horizontal="left" vertical="center" wrapText="1"/>
      <protection/>
    </xf>
    <xf numFmtId="0" fontId="0" fillId="0" borderId="12" xfId="0" applyBorder="1" applyAlignment="1">
      <alignment wrapText="1"/>
    </xf>
    <xf numFmtId="0" fontId="0" fillId="0" borderId="10" xfId="0" applyBorder="1" applyAlignment="1">
      <alignment wrapText="1"/>
    </xf>
    <xf numFmtId="0" fontId="0" fillId="0" borderId="11" xfId="0" applyBorder="1" applyAlignment="1">
      <alignment wrapText="1"/>
    </xf>
    <xf numFmtId="0" fontId="12" fillId="0" borderId="3" xfId="0" applyFont="1" applyBorder="1" applyAlignment="1">
      <alignment horizontal="center" vertical="top" wrapText="1"/>
    </xf>
    <xf numFmtId="0" fontId="24" fillId="0" borderId="3" xfId="0" applyFont="1" applyBorder="1" applyAlignment="1">
      <alignment horizontal="center"/>
    </xf>
    <xf numFmtId="0" fontId="24" fillId="0" borderId="3" xfId="0" applyFont="1" applyBorder="1" applyAlignment="1">
      <alignment/>
    </xf>
    <xf numFmtId="0" fontId="24" fillId="0" borderId="3" xfId="0" applyFont="1" applyBorder="1" applyAlignment="1">
      <alignment wrapText="1"/>
    </xf>
    <xf numFmtId="165" fontId="0" fillId="0" borderId="3" xfId="0" applyNumberFormat="1" applyBorder="1" applyAlignment="1">
      <alignment/>
    </xf>
  </cellXfs>
  <cellStyles count="14">
    <cellStyle name="Normal" xfId="0"/>
    <cellStyle name="Comma" xfId="15"/>
    <cellStyle name="Comma [0]" xfId="16"/>
    <cellStyle name="Currency" xfId="17"/>
    <cellStyle name="Currency [0]" xfId="18"/>
    <cellStyle name="Data Field" xfId="19"/>
    <cellStyle name="Data Name" xfId="20"/>
    <cellStyle name="Followed Hyperlink" xfId="21"/>
    <cellStyle name="Hyperlink" xfId="22"/>
    <cellStyle name="Normal_DUCTMTV" xfId="23"/>
    <cellStyle name="Normal_HVAB-LC" xfId="24"/>
    <cellStyle name="Normal_MTDUCT" xfId="25"/>
    <cellStyle name="Normal_ProCost Template"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ACEA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5.emf" /><Relationship Id="rId3" Type="http://schemas.openxmlformats.org/officeDocument/2006/relationships/image" Target="../media/image2.emf" /><Relationship Id="rId4" Type="http://schemas.openxmlformats.org/officeDocument/2006/relationships/image" Target="../media/image4.emf" /><Relationship Id="rId5" Type="http://schemas.openxmlformats.org/officeDocument/2006/relationships/image" Target="../media/image11.emf" /><Relationship Id="rId6" Type="http://schemas.openxmlformats.org/officeDocument/2006/relationships/image" Target="../media/image1.emf" /><Relationship Id="rId7" Type="http://schemas.openxmlformats.org/officeDocument/2006/relationships/image" Target="../media/image3.emf" /><Relationship Id="rId8" Type="http://schemas.openxmlformats.org/officeDocument/2006/relationships/image" Target="../media/image9.emf" /><Relationship Id="rId9" Type="http://schemas.openxmlformats.org/officeDocument/2006/relationships/image" Target="../media/image10.emf" /><Relationship Id="rId10" Type="http://schemas.openxmlformats.org/officeDocument/2006/relationships/image" Target="../media/image6.emf" /><Relationship Id="rId11" Type="http://schemas.openxmlformats.org/officeDocument/2006/relationships/image" Target="../media/image13.emf" /><Relationship Id="rId12" Type="http://schemas.openxmlformats.org/officeDocument/2006/relationships/image" Target="../media/image12.emf" /><Relationship Id="rId13"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30</xdr:row>
      <xdr:rowOff>104775</xdr:rowOff>
    </xdr:from>
    <xdr:to>
      <xdr:col>3</xdr:col>
      <xdr:colOff>19050</xdr:colOff>
      <xdr:row>32</xdr:row>
      <xdr:rowOff>0</xdr:rowOff>
    </xdr:to>
    <xdr:pic>
      <xdr:nvPicPr>
        <xdr:cNvPr id="1" name="CommandButton1"/>
        <xdr:cNvPicPr preferRelativeResize="1">
          <a:picLocks noChangeAspect="1"/>
        </xdr:cNvPicPr>
      </xdr:nvPicPr>
      <xdr:blipFill>
        <a:blip r:embed="rId1"/>
        <a:stretch>
          <a:fillRect/>
        </a:stretch>
      </xdr:blipFill>
      <xdr:spPr>
        <a:xfrm>
          <a:off x="2200275" y="5943600"/>
          <a:ext cx="752475" cy="238125"/>
        </a:xfrm>
        <a:prstGeom prst="rect">
          <a:avLst/>
        </a:prstGeom>
        <a:noFill/>
        <a:ln w="9525" cmpd="sng">
          <a:noFill/>
        </a:ln>
      </xdr:spPr>
    </xdr:pic>
    <xdr:clientData/>
  </xdr:twoCellAnchor>
  <xdr:twoCellAnchor editAs="oneCell">
    <xdr:from>
      <xdr:col>4</xdr:col>
      <xdr:colOff>9525</xdr:colOff>
      <xdr:row>20</xdr:row>
      <xdr:rowOff>0</xdr:rowOff>
    </xdr:from>
    <xdr:to>
      <xdr:col>5</xdr:col>
      <xdr:colOff>104775</xdr:colOff>
      <xdr:row>20</xdr:row>
      <xdr:rowOff>466725</xdr:rowOff>
    </xdr:to>
    <xdr:pic>
      <xdr:nvPicPr>
        <xdr:cNvPr id="2" name="CommandButton3"/>
        <xdr:cNvPicPr preferRelativeResize="1">
          <a:picLocks noChangeAspect="1"/>
        </xdr:cNvPicPr>
      </xdr:nvPicPr>
      <xdr:blipFill>
        <a:blip r:embed="rId2"/>
        <a:stretch>
          <a:fillRect/>
        </a:stretch>
      </xdr:blipFill>
      <xdr:spPr>
        <a:xfrm>
          <a:off x="5362575" y="3771900"/>
          <a:ext cx="533400" cy="466725"/>
        </a:xfrm>
        <a:prstGeom prst="rect">
          <a:avLst/>
        </a:prstGeom>
        <a:noFill/>
        <a:ln w="9525" cmpd="sng">
          <a:noFill/>
        </a:ln>
      </xdr:spPr>
    </xdr:pic>
    <xdr:clientData/>
  </xdr:twoCellAnchor>
  <xdr:twoCellAnchor>
    <xdr:from>
      <xdr:col>1</xdr:col>
      <xdr:colOff>9525</xdr:colOff>
      <xdr:row>22</xdr:row>
      <xdr:rowOff>0</xdr:rowOff>
    </xdr:from>
    <xdr:to>
      <xdr:col>5</xdr:col>
      <xdr:colOff>9525</xdr:colOff>
      <xdr:row>23</xdr:row>
      <xdr:rowOff>9525</xdr:rowOff>
    </xdr:to>
    <xdr:pic>
      <xdr:nvPicPr>
        <xdr:cNvPr id="3" name="ComboBox4"/>
        <xdr:cNvPicPr preferRelativeResize="1">
          <a:picLocks noChangeAspect="1"/>
        </xdr:cNvPicPr>
      </xdr:nvPicPr>
      <xdr:blipFill>
        <a:blip r:embed="rId3"/>
        <a:stretch>
          <a:fillRect/>
        </a:stretch>
      </xdr:blipFill>
      <xdr:spPr>
        <a:xfrm>
          <a:off x="1847850" y="4429125"/>
          <a:ext cx="3952875" cy="190500"/>
        </a:xfrm>
        <a:prstGeom prst="rect">
          <a:avLst/>
        </a:prstGeom>
        <a:noFill/>
        <a:ln w="0" cmpd="sng">
          <a:noFill/>
        </a:ln>
      </xdr:spPr>
    </xdr:pic>
    <xdr:clientData/>
  </xdr:twoCellAnchor>
  <xdr:twoCellAnchor editAs="oneCell">
    <xdr:from>
      <xdr:col>4</xdr:col>
      <xdr:colOff>0</xdr:colOff>
      <xdr:row>5</xdr:row>
      <xdr:rowOff>180975</xdr:rowOff>
    </xdr:from>
    <xdr:to>
      <xdr:col>5</xdr:col>
      <xdr:colOff>9525</xdr:colOff>
      <xdr:row>7</xdr:row>
      <xdr:rowOff>0</xdr:rowOff>
    </xdr:to>
    <xdr:pic>
      <xdr:nvPicPr>
        <xdr:cNvPr id="4" name="CommandButton4"/>
        <xdr:cNvPicPr preferRelativeResize="1">
          <a:picLocks noChangeAspect="1"/>
        </xdr:cNvPicPr>
      </xdr:nvPicPr>
      <xdr:blipFill>
        <a:blip r:embed="rId4"/>
        <a:stretch>
          <a:fillRect/>
        </a:stretch>
      </xdr:blipFill>
      <xdr:spPr>
        <a:xfrm>
          <a:off x="5353050" y="1133475"/>
          <a:ext cx="447675" cy="200025"/>
        </a:xfrm>
        <a:prstGeom prst="rect">
          <a:avLst/>
        </a:prstGeom>
        <a:noFill/>
        <a:ln w="9525" cmpd="sng">
          <a:noFill/>
        </a:ln>
      </xdr:spPr>
    </xdr:pic>
    <xdr:clientData/>
  </xdr:twoCellAnchor>
  <xdr:twoCellAnchor>
    <xdr:from>
      <xdr:col>1</xdr:col>
      <xdr:colOff>9525</xdr:colOff>
      <xdr:row>21</xdr:row>
      <xdr:rowOff>0</xdr:rowOff>
    </xdr:from>
    <xdr:to>
      <xdr:col>5</xdr:col>
      <xdr:colOff>0</xdr:colOff>
      <xdr:row>22</xdr:row>
      <xdr:rowOff>19050</xdr:rowOff>
    </xdr:to>
    <xdr:pic>
      <xdr:nvPicPr>
        <xdr:cNvPr id="5" name="ComboBox3"/>
        <xdr:cNvPicPr preferRelativeResize="1">
          <a:picLocks noChangeAspect="1"/>
        </xdr:cNvPicPr>
      </xdr:nvPicPr>
      <xdr:blipFill>
        <a:blip r:embed="rId5"/>
        <a:stretch>
          <a:fillRect/>
        </a:stretch>
      </xdr:blipFill>
      <xdr:spPr>
        <a:xfrm>
          <a:off x="1847850" y="4248150"/>
          <a:ext cx="3943350" cy="200025"/>
        </a:xfrm>
        <a:prstGeom prst="rect">
          <a:avLst/>
        </a:prstGeom>
        <a:noFill/>
        <a:ln w="9525" cmpd="sng">
          <a:noFill/>
        </a:ln>
      </xdr:spPr>
    </xdr:pic>
    <xdr:clientData/>
  </xdr:twoCellAnchor>
  <xdr:twoCellAnchor>
    <xdr:from>
      <xdr:col>4</xdr:col>
      <xdr:colOff>0</xdr:colOff>
      <xdr:row>10</xdr:row>
      <xdr:rowOff>0</xdr:rowOff>
    </xdr:from>
    <xdr:to>
      <xdr:col>5</xdr:col>
      <xdr:colOff>9525</xdr:colOff>
      <xdr:row>11</xdr:row>
      <xdr:rowOff>28575</xdr:rowOff>
    </xdr:to>
    <xdr:pic>
      <xdr:nvPicPr>
        <xdr:cNvPr id="6" name="CheckBox2"/>
        <xdr:cNvPicPr preferRelativeResize="1">
          <a:picLocks noChangeAspect="1"/>
        </xdr:cNvPicPr>
      </xdr:nvPicPr>
      <xdr:blipFill>
        <a:blip r:embed="rId6"/>
        <a:stretch>
          <a:fillRect/>
        </a:stretch>
      </xdr:blipFill>
      <xdr:spPr>
        <a:xfrm>
          <a:off x="5353050" y="1905000"/>
          <a:ext cx="447675" cy="219075"/>
        </a:xfrm>
        <a:prstGeom prst="rect">
          <a:avLst/>
        </a:prstGeom>
        <a:noFill/>
        <a:ln w="9525" cmpd="sng">
          <a:noFill/>
        </a:ln>
      </xdr:spPr>
    </xdr:pic>
    <xdr:clientData/>
  </xdr:twoCellAnchor>
  <xdr:twoCellAnchor>
    <xdr:from>
      <xdr:col>4</xdr:col>
      <xdr:colOff>0</xdr:colOff>
      <xdr:row>11</xdr:row>
      <xdr:rowOff>0</xdr:rowOff>
    </xdr:from>
    <xdr:to>
      <xdr:col>5</xdr:col>
      <xdr:colOff>9525</xdr:colOff>
      <xdr:row>12</xdr:row>
      <xdr:rowOff>28575</xdr:rowOff>
    </xdr:to>
    <xdr:pic>
      <xdr:nvPicPr>
        <xdr:cNvPr id="7" name="CheckBox5"/>
        <xdr:cNvPicPr preferRelativeResize="1">
          <a:picLocks noChangeAspect="1"/>
        </xdr:cNvPicPr>
      </xdr:nvPicPr>
      <xdr:blipFill>
        <a:blip r:embed="rId6"/>
        <a:stretch>
          <a:fillRect/>
        </a:stretch>
      </xdr:blipFill>
      <xdr:spPr>
        <a:xfrm>
          <a:off x="5353050" y="2095500"/>
          <a:ext cx="447675" cy="219075"/>
        </a:xfrm>
        <a:prstGeom prst="rect">
          <a:avLst/>
        </a:prstGeom>
        <a:noFill/>
        <a:ln w="9525" cmpd="sng">
          <a:noFill/>
        </a:ln>
      </xdr:spPr>
    </xdr:pic>
    <xdr:clientData/>
  </xdr:twoCellAnchor>
  <xdr:twoCellAnchor>
    <xdr:from>
      <xdr:col>4</xdr:col>
      <xdr:colOff>0</xdr:colOff>
      <xdr:row>12</xdr:row>
      <xdr:rowOff>0</xdr:rowOff>
    </xdr:from>
    <xdr:to>
      <xdr:col>5</xdr:col>
      <xdr:colOff>9525</xdr:colOff>
      <xdr:row>13</xdr:row>
      <xdr:rowOff>28575</xdr:rowOff>
    </xdr:to>
    <xdr:pic>
      <xdr:nvPicPr>
        <xdr:cNvPr id="8" name="CheckBox6"/>
        <xdr:cNvPicPr preferRelativeResize="1">
          <a:picLocks noChangeAspect="1"/>
        </xdr:cNvPicPr>
      </xdr:nvPicPr>
      <xdr:blipFill>
        <a:blip r:embed="rId6"/>
        <a:stretch>
          <a:fillRect/>
        </a:stretch>
      </xdr:blipFill>
      <xdr:spPr>
        <a:xfrm>
          <a:off x="5353050" y="2286000"/>
          <a:ext cx="447675" cy="219075"/>
        </a:xfrm>
        <a:prstGeom prst="rect">
          <a:avLst/>
        </a:prstGeom>
        <a:noFill/>
        <a:ln w="9525" cmpd="sng">
          <a:noFill/>
        </a:ln>
      </xdr:spPr>
    </xdr:pic>
    <xdr:clientData/>
  </xdr:twoCellAnchor>
  <xdr:twoCellAnchor>
    <xdr:from>
      <xdr:col>4</xdr:col>
      <xdr:colOff>0</xdr:colOff>
      <xdr:row>13</xdr:row>
      <xdr:rowOff>0</xdr:rowOff>
    </xdr:from>
    <xdr:to>
      <xdr:col>5</xdr:col>
      <xdr:colOff>9525</xdr:colOff>
      <xdr:row>14</xdr:row>
      <xdr:rowOff>9525</xdr:rowOff>
    </xdr:to>
    <xdr:pic>
      <xdr:nvPicPr>
        <xdr:cNvPr id="9" name="CheckBox7"/>
        <xdr:cNvPicPr preferRelativeResize="1">
          <a:picLocks noChangeAspect="1"/>
        </xdr:cNvPicPr>
      </xdr:nvPicPr>
      <xdr:blipFill>
        <a:blip r:embed="rId6"/>
        <a:stretch>
          <a:fillRect/>
        </a:stretch>
      </xdr:blipFill>
      <xdr:spPr>
        <a:xfrm>
          <a:off x="5353050" y="2476500"/>
          <a:ext cx="447675" cy="200025"/>
        </a:xfrm>
        <a:prstGeom prst="rect">
          <a:avLst/>
        </a:prstGeom>
        <a:noFill/>
        <a:ln w="9525" cmpd="sng">
          <a:noFill/>
        </a:ln>
      </xdr:spPr>
    </xdr:pic>
    <xdr:clientData/>
  </xdr:twoCellAnchor>
  <xdr:twoCellAnchor>
    <xdr:from>
      <xdr:col>4</xdr:col>
      <xdr:colOff>0</xdr:colOff>
      <xdr:row>14</xdr:row>
      <xdr:rowOff>0</xdr:rowOff>
    </xdr:from>
    <xdr:to>
      <xdr:col>5</xdr:col>
      <xdr:colOff>9525</xdr:colOff>
      <xdr:row>15</xdr:row>
      <xdr:rowOff>28575</xdr:rowOff>
    </xdr:to>
    <xdr:pic>
      <xdr:nvPicPr>
        <xdr:cNvPr id="10" name="CheckBox8"/>
        <xdr:cNvPicPr preferRelativeResize="1">
          <a:picLocks noChangeAspect="1"/>
        </xdr:cNvPicPr>
      </xdr:nvPicPr>
      <xdr:blipFill>
        <a:blip r:embed="rId6"/>
        <a:stretch>
          <a:fillRect/>
        </a:stretch>
      </xdr:blipFill>
      <xdr:spPr>
        <a:xfrm>
          <a:off x="5353050" y="2667000"/>
          <a:ext cx="447675" cy="209550"/>
        </a:xfrm>
        <a:prstGeom prst="rect">
          <a:avLst/>
        </a:prstGeom>
        <a:noFill/>
        <a:ln w="9525" cmpd="sng">
          <a:noFill/>
        </a:ln>
      </xdr:spPr>
    </xdr:pic>
    <xdr:clientData/>
  </xdr:twoCellAnchor>
  <xdr:twoCellAnchor>
    <xdr:from>
      <xdr:col>4</xdr:col>
      <xdr:colOff>0</xdr:colOff>
      <xdr:row>15</xdr:row>
      <xdr:rowOff>0</xdr:rowOff>
    </xdr:from>
    <xdr:to>
      <xdr:col>5</xdr:col>
      <xdr:colOff>9525</xdr:colOff>
      <xdr:row>16</xdr:row>
      <xdr:rowOff>28575</xdr:rowOff>
    </xdr:to>
    <xdr:pic>
      <xdr:nvPicPr>
        <xdr:cNvPr id="11" name="CheckBox9"/>
        <xdr:cNvPicPr preferRelativeResize="1">
          <a:picLocks noChangeAspect="1"/>
        </xdr:cNvPicPr>
      </xdr:nvPicPr>
      <xdr:blipFill>
        <a:blip r:embed="rId6"/>
        <a:stretch>
          <a:fillRect/>
        </a:stretch>
      </xdr:blipFill>
      <xdr:spPr>
        <a:xfrm>
          <a:off x="5353050" y="2847975"/>
          <a:ext cx="447675" cy="209550"/>
        </a:xfrm>
        <a:prstGeom prst="rect">
          <a:avLst/>
        </a:prstGeom>
        <a:noFill/>
        <a:ln w="9525" cmpd="sng">
          <a:noFill/>
        </a:ln>
      </xdr:spPr>
    </xdr:pic>
    <xdr:clientData/>
  </xdr:twoCellAnchor>
  <xdr:twoCellAnchor>
    <xdr:from>
      <xdr:col>4</xdr:col>
      <xdr:colOff>0</xdr:colOff>
      <xdr:row>16</xdr:row>
      <xdr:rowOff>0</xdr:rowOff>
    </xdr:from>
    <xdr:to>
      <xdr:col>5</xdr:col>
      <xdr:colOff>9525</xdr:colOff>
      <xdr:row>17</xdr:row>
      <xdr:rowOff>9525</xdr:rowOff>
    </xdr:to>
    <xdr:pic>
      <xdr:nvPicPr>
        <xdr:cNvPr id="12" name="CheckBox10"/>
        <xdr:cNvPicPr preferRelativeResize="1">
          <a:picLocks noChangeAspect="1"/>
        </xdr:cNvPicPr>
      </xdr:nvPicPr>
      <xdr:blipFill>
        <a:blip r:embed="rId7"/>
        <a:stretch>
          <a:fillRect/>
        </a:stretch>
      </xdr:blipFill>
      <xdr:spPr>
        <a:xfrm>
          <a:off x="5353050" y="3028950"/>
          <a:ext cx="447675" cy="190500"/>
        </a:xfrm>
        <a:prstGeom prst="rect">
          <a:avLst/>
        </a:prstGeom>
        <a:noFill/>
        <a:ln w="9525" cmpd="sng">
          <a:noFill/>
        </a:ln>
      </xdr:spPr>
    </xdr:pic>
    <xdr:clientData/>
  </xdr:twoCellAnchor>
  <xdr:twoCellAnchor>
    <xdr:from>
      <xdr:col>4</xdr:col>
      <xdr:colOff>0</xdr:colOff>
      <xdr:row>9</xdr:row>
      <xdr:rowOff>0</xdr:rowOff>
    </xdr:from>
    <xdr:to>
      <xdr:col>5</xdr:col>
      <xdr:colOff>9525</xdr:colOff>
      <xdr:row>10</xdr:row>
      <xdr:rowOff>28575</xdr:rowOff>
    </xdr:to>
    <xdr:pic>
      <xdr:nvPicPr>
        <xdr:cNvPr id="13" name="CheckBox1"/>
        <xdr:cNvPicPr preferRelativeResize="1">
          <a:picLocks noChangeAspect="1"/>
        </xdr:cNvPicPr>
      </xdr:nvPicPr>
      <xdr:blipFill>
        <a:blip r:embed="rId8"/>
        <a:stretch>
          <a:fillRect/>
        </a:stretch>
      </xdr:blipFill>
      <xdr:spPr>
        <a:xfrm>
          <a:off x="5353050" y="1714500"/>
          <a:ext cx="447675" cy="219075"/>
        </a:xfrm>
        <a:prstGeom prst="rect">
          <a:avLst/>
        </a:prstGeom>
        <a:noFill/>
        <a:ln w="9525" cmpd="sng">
          <a:noFill/>
        </a:ln>
      </xdr:spPr>
    </xdr:pic>
    <xdr:clientData/>
  </xdr:twoCellAnchor>
  <xdr:twoCellAnchor>
    <xdr:from>
      <xdr:col>4</xdr:col>
      <xdr:colOff>0</xdr:colOff>
      <xdr:row>8</xdr:row>
      <xdr:rowOff>0</xdr:rowOff>
    </xdr:from>
    <xdr:to>
      <xdr:col>5</xdr:col>
      <xdr:colOff>9525</xdr:colOff>
      <xdr:row>9</xdr:row>
      <xdr:rowOff>28575</xdr:rowOff>
    </xdr:to>
    <xdr:pic>
      <xdr:nvPicPr>
        <xdr:cNvPr id="14" name="CheckBox3"/>
        <xdr:cNvPicPr preferRelativeResize="1">
          <a:picLocks noChangeAspect="1"/>
        </xdr:cNvPicPr>
      </xdr:nvPicPr>
      <xdr:blipFill>
        <a:blip r:embed="rId9"/>
        <a:stretch>
          <a:fillRect/>
        </a:stretch>
      </xdr:blipFill>
      <xdr:spPr>
        <a:xfrm>
          <a:off x="5353050" y="1524000"/>
          <a:ext cx="447675" cy="219075"/>
        </a:xfrm>
        <a:prstGeom prst="rect">
          <a:avLst/>
        </a:prstGeom>
        <a:noFill/>
        <a:ln w="9525" cmpd="sng">
          <a:noFill/>
        </a:ln>
      </xdr:spPr>
    </xdr:pic>
    <xdr:clientData/>
  </xdr:twoCellAnchor>
  <xdr:twoCellAnchor>
    <xdr:from>
      <xdr:col>4</xdr:col>
      <xdr:colOff>0</xdr:colOff>
      <xdr:row>7</xdr:row>
      <xdr:rowOff>0</xdr:rowOff>
    </xdr:from>
    <xdr:to>
      <xdr:col>5</xdr:col>
      <xdr:colOff>9525</xdr:colOff>
      <xdr:row>8</xdr:row>
      <xdr:rowOff>28575</xdr:rowOff>
    </xdr:to>
    <xdr:pic>
      <xdr:nvPicPr>
        <xdr:cNvPr id="15" name="CheckBox4"/>
        <xdr:cNvPicPr preferRelativeResize="1">
          <a:picLocks noChangeAspect="1"/>
        </xdr:cNvPicPr>
      </xdr:nvPicPr>
      <xdr:blipFill>
        <a:blip r:embed="rId8"/>
        <a:stretch>
          <a:fillRect/>
        </a:stretch>
      </xdr:blipFill>
      <xdr:spPr>
        <a:xfrm>
          <a:off x="5353050" y="1333500"/>
          <a:ext cx="447675"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485775</xdr:colOff>
      <xdr:row>7</xdr:row>
      <xdr:rowOff>0</xdr:rowOff>
    </xdr:to>
    <xdr:pic>
      <xdr:nvPicPr>
        <xdr:cNvPr id="16" name="OptionButton1"/>
        <xdr:cNvPicPr preferRelativeResize="1">
          <a:picLocks noChangeAspect="1"/>
        </xdr:cNvPicPr>
      </xdr:nvPicPr>
      <xdr:blipFill>
        <a:blip r:embed="rId10"/>
        <a:stretch>
          <a:fillRect/>
        </a:stretch>
      </xdr:blipFill>
      <xdr:spPr>
        <a:xfrm>
          <a:off x="5791200" y="1143000"/>
          <a:ext cx="485775" cy="190500"/>
        </a:xfrm>
        <a:prstGeom prst="rect">
          <a:avLst/>
        </a:prstGeom>
        <a:noFill/>
        <a:ln w="9525" cmpd="sng">
          <a:noFill/>
        </a:ln>
      </xdr:spPr>
    </xdr:pic>
    <xdr:clientData/>
  </xdr:twoCellAnchor>
  <xdr:twoCellAnchor editAs="oneCell">
    <xdr:from>
      <xdr:col>5</xdr:col>
      <xdr:colOff>0</xdr:colOff>
      <xdr:row>6</xdr:row>
      <xdr:rowOff>161925</xdr:rowOff>
    </xdr:from>
    <xdr:to>
      <xdr:col>5</xdr:col>
      <xdr:colOff>485775</xdr:colOff>
      <xdr:row>8</xdr:row>
      <xdr:rowOff>9525</xdr:rowOff>
    </xdr:to>
    <xdr:pic>
      <xdr:nvPicPr>
        <xdr:cNvPr id="17" name="OptionButton2"/>
        <xdr:cNvPicPr preferRelativeResize="1">
          <a:picLocks noChangeAspect="1"/>
        </xdr:cNvPicPr>
      </xdr:nvPicPr>
      <xdr:blipFill>
        <a:blip r:embed="rId11"/>
        <a:stretch>
          <a:fillRect/>
        </a:stretch>
      </xdr:blipFill>
      <xdr:spPr>
        <a:xfrm>
          <a:off x="5791200" y="1304925"/>
          <a:ext cx="485775" cy="228600"/>
        </a:xfrm>
        <a:prstGeom prst="rect">
          <a:avLst/>
        </a:prstGeom>
        <a:noFill/>
        <a:ln w="9525" cmpd="sng">
          <a:noFill/>
        </a:ln>
      </xdr:spPr>
    </xdr:pic>
    <xdr:clientData/>
  </xdr:twoCellAnchor>
  <xdr:twoCellAnchor editAs="oneCell">
    <xdr:from>
      <xdr:col>0</xdr:col>
      <xdr:colOff>504825</xdr:colOff>
      <xdr:row>30</xdr:row>
      <xdr:rowOff>66675</xdr:rowOff>
    </xdr:from>
    <xdr:to>
      <xdr:col>0</xdr:col>
      <xdr:colOff>1838325</xdr:colOff>
      <xdr:row>42</xdr:row>
      <xdr:rowOff>66675</xdr:rowOff>
    </xdr:to>
    <xdr:pic>
      <xdr:nvPicPr>
        <xdr:cNvPr id="18" name="Frame1"/>
        <xdr:cNvPicPr preferRelativeResize="1">
          <a:picLocks noChangeAspect="1"/>
        </xdr:cNvPicPr>
      </xdr:nvPicPr>
      <xdr:blipFill>
        <a:blip r:embed="rId12"/>
        <a:stretch>
          <a:fillRect/>
        </a:stretch>
      </xdr:blipFill>
      <xdr:spPr>
        <a:xfrm>
          <a:off x="504825" y="5905500"/>
          <a:ext cx="1333500" cy="2133600"/>
        </a:xfrm>
        <a:prstGeom prst="rect">
          <a:avLst/>
        </a:prstGeom>
        <a:noFill/>
        <a:ln w="9525" cmpd="sng">
          <a:noFill/>
        </a:ln>
      </xdr:spPr>
    </xdr:pic>
    <xdr:clientData/>
  </xdr:twoCellAnchor>
  <xdr:twoCellAnchor editAs="oneCell">
    <xdr:from>
      <xdr:col>7</xdr:col>
      <xdr:colOff>0</xdr:colOff>
      <xdr:row>6</xdr:row>
      <xdr:rowOff>9525</xdr:rowOff>
    </xdr:from>
    <xdr:to>
      <xdr:col>8</xdr:col>
      <xdr:colOff>0</xdr:colOff>
      <xdr:row>8</xdr:row>
      <xdr:rowOff>0</xdr:rowOff>
    </xdr:to>
    <xdr:pic>
      <xdr:nvPicPr>
        <xdr:cNvPr id="19" name="CommandButton1"/>
        <xdr:cNvPicPr preferRelativeResize="1">
          <a:picLocks noChangeAspect="1"/>
        </xdr:cNvPicPr>
      </xdr:nvPicPr>
      <xdr:blipFill>
        <a:blip r:embed="rId13"/>
        <a:stretch>
          <a:fillRect/>
        </a:stretch>
      </xdr:blipFill>
      <xdr:spPr>
        <a:xfrm>
          <a:off x="6915150" y="1152525"/>
          <a:ext cx="56197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ew%20Plan\Residential%20Resource%20Assessment\PNWResSectorSupplyCurveUni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ew%20Plan\Residential%20Resource%20Assessment\PNWResCharactericsDat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arRefigera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of Residential Units"/>
      <sheetName val="Housing Units by Climate Zone"/>
      <sheetName val="Total Housing Units"/>
      <sheetName val="Pre-1980 Space Heating Unit"/>
      <sheetName val="Post79 - Pre93 Units"/>
      <sheetName val="Existing Space Heating Units"/>
      <sheetName val="New Space Heating Units"/>
      <sheetName val="DHW &amp; Appliance Units"/>
    </sheetNames>
    <sheetDataSet>
      <sheetData sheetId="0">
        <row r="12">
          <cell r="F12">
            <v>0.30437009175225693</v>
          </cell>
          <cell r="G12">
            <v>0.3026173121835001</v>
          </cell>
        </row>
        <row r="13">
          <cell r="F13">
            <v>0.1118196973695496</v>
          </cell>
          <cell r="G13">
            <v>0.20077927607981252</v>
          </cell>
        </row>
        <row r="14">
          <cell r="F14">
            <v>0.5838102108781936</v>
          </cell>
          <cell r="G14">
            <v>0.4966034117366874</v>
          </cell>
        </row>
        <row r="18">
          <cell r="E18">
            <v>0.2724596827796487</v>
          </cell>
          <cell r="H18">
            <v>0.39716767160370814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Home Characteristics"/>
      <sheetName val="PNW Existing Characteristics"/>
      <sheetName val="Idaho Characteristics"/>
      <sheetName val="Montana Characteristics"/>
      <sheetName val="Oregon Characteristics"/>
      <sheetName val="Washington Characteristics"/>
      <sheetName val="MDUResApplianceSat"/>
      <sheetName val="NorthWesternResApplianceSat"/>
      <sheetName val="AvistaResApplianceSat"/>
      <sheetName val="IPCResApplianceSat"/>
      <sheetName val="PacfiCorpResApplianceSat-ID"/>
      <sheetName val="PGEResApplianceSat"/>
      <sheetName val="PacfiCorpResApplianceSat-OR"/>
      <sheetName val="PacfiCorpResApplianceSat-CA"/>
      <sheetName val="PacfiCorpResApplianceSat-WA"/>
      <sheetName val="SCL Characteristics"/>
      <sheetName val="PSEResApplianceSat"/>
      <sheetName val=" Existing SphtSysType PNRES"/>
    </sheetNames>
    <sheetDataSet>
      <sheetData sheetId="1">
        <row r="20">
          <cell r="F20">
            <v>0.419631940634978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asureTable"/>
      <sheetName val="ProData"/>
      <sheetName val="EStarFrig"/>
      <sheetName val="EStarFrig Input Assumptions"/>
      <sheetName val="CEC Data Base"/>
      <sheetName val="CEC Data Base by Brand"/>
      <sheetName val="Price, Volume vs Use"/>
      <sheetName val="E-Shop Retail Prices"/>
      <sheetName val="Sears Retail Prices - All"/>
      <sheetName val="Bottom Freezer - All"/>
      <sheetName val="Top Freezer - All"/>
      <sheetName val="SidebySide - All"/>
      <sheetName val="Energy Star Model Savings"/>
      <sheetName val="Analysis"/>
      <sheetName val="Graphing Data"/>
      <sheetName val="Graphs"/>
      <sheetName val="SidebySide - Energy Star No Ice"/>
      <sheetName val="SidebySide Not EStar - No Ice"/>
      <sheetName val="SidebySide Not EStar - wIce"/>
      <sheetName val="SidebySide - Energy Star wIce"/>
      <sheetName val="Top Freezer - EStar No Ice"/>
      <sheetName val="Top Freezer No EStar - No Ice"/>
      <sheetName val="Top Freezer No EStar- wIce"/>
      <sheetName val="Top Freezer - Energy Star wIce"/>
      <sheetName val="Top Freezer wIce 18- 20 cu. ft."/>
      <sheetName val="Bottom Freezer - EStar No Ice"/>
      <sheetName val="Bottom Freezer Not ESt - No Ice"/>
      <sheetName val="Bottom Freezer - EStar wIce"/>
      <sheetName val="Bottom Freezer Not EStar- wIce"/>
      <sheetName val="Side-by-Side wIce by Size"/>
      <sheetName val="Decom Input Assumptions"/>
      <sheetName val="Life Cycle Cost - Refrigerstor"/>
      <sheetName val="Federal Standards"/>
      <sheetName val="Efficiency and Size Trends"/>
      <sheetName val="Space Conditioning Interaction"/>
      <sheetName val="Lookup Tab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2:AK14"/>
  <sheetViews>
    <sheetView tabSelected="1" workbookViewId="0" topLeftCell="A1">
      <selection activeCell="A1" sqref="A1"/>
    </sheetView>
  </sheetViews>
  <sheetFormatPr defaultColWidth="9.140625" defaultRowHeight="12.75"/>
  <cols>
    <col min="1" max="1" width="35.8515625" style="0" customWidth="1"/>
    <col min="2" max="2" width="13.57421875" style="0" customWidth="1"/>
    <col min="3" max="3" width="14.140625" style="0" customWidth="1"/>
    <col min="4" max="4" width="10.8515625" style="0" customWidth="1"/>
    <col min="5" max="5" width="10.140625" style="0" customWidth="1"/>
    <col min="6" max="6" width="10.8515625" style="0" customWidth="1"/>
    <col min="7" max="7" width="12.8515625" style="0" customWidth="1"/>
    <col min="8" max="8" width="8.421875" style="0" customWidth="1"/>
    <col min="9" max="9" width="10.00390625" style="0" customWidth="1"/>
    <col min="10" max="11" width="9.57421875" style="0" bestFit="1" customWidth="1"/>
    <col min="12" max="12" width="14.7109375" style="0" customWidth="1"/>
    <col min="13" max="13" width="12.28125" style="0" customWidth="1"/>
    <col min="14" max="15" width="10.8515625" style="0" customWidth="1"/>
    <col min="16" max="16" width="14.421875" style="0" customWidth="1"/>
    <col min="17" max="17" width="10.8515625" style="0" customWidth="1"/>
    <col min="18" max="19" width="12.57421875" style="0" customWidth="1"/>
    <col min="20" max="20" width="13.57421875" style="0" customWidth="1"/>
    <col min="21" max="21" width="12.7109375" style="0" customWidth="1"/>
    <col min="23" max="23" width="6.421875" style="0" customWidth="1"/>
    <col min="24" max="24" width="11.00390625" style="0" customWidth="1"/>
    <col min="25" max="25" width="12.8515625" style="0" customWidth="1"/>
    <col min="26" max="26" width="17.140625" style="0" customWidth="1"/>
    <col min="27" max="27" width="42.28125" style="0" customWidth="1"/>
    <col min="28" max="28" width="32.7109375" style="0" customWidth="1"/>
    <col min="29" max="30" width="12.421875" style="0" customWidth="1"/>
    <col min="31" max="31" width="11.421875" style="0" customWidth="1"/>
    <col min="32" max="32" width="12.57421875" style="0" customWidth="1"/>
    <col min="33" max="33" width="18.28125" style="0" customWidth="1"/>
    <col min="34" max="34" width="10.7109375" style="0" customWidth="1"/>
    <col min="35" max="35" width="62.8515625" style="0" customWidth="1"/>
    <col min="36" max="36" width="63.7109375" style="0" customWidth="1"/>
    <col min="37" max="37" width="11.8515625" style="0" customWidth="1"/>
  </cols>
  <sheetData>
    <row r="1" ht="13.5" thickBot="1"/>
    <row r="2" spans="1:36" s="72" customFormat="1" ht="15.75" thickBot="1">
      <c r="A2" s="331" t="s">
        <v>111</v>
      </c>
      <c r="B2" s="332"/>
      <c r="C2" s="332"/>
      <c r="D2" s="332"/>
      <c r="E2" s="332"/>
      <c r="F2" s="332"/>
      <c r="G2" s="332"/>
      <c r="H2" s="332"/>
      <c r="I2" s="332"/>
      <c r="J2" s="332"/>
      <c r="K2" s="332"/>
      <c r="L2" s="332"/>
      <c r="M2" s="332"/>
      <c r="N2" s="332"/>
      <c r="O2" s="332"/>
      <c r="P2" s="332"/>
      <c r="Q2" s="332"/>
      <c r="R2" s="332"/>
      <c r="S2" s="332"/>
      <c r="T2" s="332"/>
      <c r="U2" s="332"/>
      <c r="V2" s="332"/>
      <c r="W2" s="333"/>
      <c r="X2" s="331" t="s">
        <v>112</v>
      </c>
      <c r="Y2" s="332"/>
      <c r="Z2" s="333"/>
      <c r="AA2" s="332" t="s">
        <v>113</v>
      </c>
      <c r="AB2" s="332"/>
      <c r="AC2" s="332"/>
      <c r="AD2" s="335"/>
      <c r="AE2" s="334" t="s">
        <v>114</v>
      </c>
      <c r="AF2" s="332"/>
      <c r="AG2" s="332"/>
      <c r="AH2" s="335"/>
      <c r="AI2" s="70"/>
      <c r="AJ2" s="71"/>
    </row>
    <row r="3" spans="1:37" s="76" customFormat="1" ht="79.5" thickBot="1">
      <c r="A3" s="73" t="s">
        <v>115</v>
      </c>
      <c r="B3" s="74" t="s">
        <v>116</v>
      </c>
      <c r="C3" s="74" t="s">
        <v>117</v>
      </c>
      <c r="D3" s="74" t="s">
        <v>118</v>
      </c>
      <c r="E3" s="74" t="s">
        <v>149</v>
      </c>
      <c r="F3" s="74" t="s">
        <v>150</v>
      </c>
      <c r="G3" s="74" t="s">
        <v>151</v>
      </c>
      <c r="H3" s="74" t="s">
        <v>119</v>
      </c>
      <c r="I3" s="74" t="s">
        <v>152</v>
      </c>
      <c r="J3" s="74" t="s">
        <v>120</v>
      </c>
      <c r="K3" s="74" t="s">
        <v>121</v>
      </c>
      <c r="L3" s="74" t="s">
        <v>122</v>
      </c>
      <c r="M3" s="74" t="s">
        <v>123</v>
      </c>
      <c r="N3" s="74" t="s">
        <v>153</v>
      </c>
      <c r="O3" s="74" t="s">
        <v>124</v>
      </c>
      <c r="P3" s="74" t="s">
        <v>154</v>
      </c>
      <c r="Q3" s="74" t="s">
        <v>125</v>
      </c>
      <c r="R3" s="74" t="s">
        <v>126</v>
      </c>
      <c r="S3" s="74" t="s">
        <v>131</v>
      </c>
      <c r="T3" s="74" t="s">
        <v>132</v>
      </c>
      <c r="U3" s="74" t="s">
        <v>133</v>
      </c>
      <c r="V3" s="74" t="s">
        <v>134</v>
      </c>
      <c r="W3" s="74" t="s">
        <v>135</v>
      </c>
      <c r="X3" s="73" t="s">
        <v>136</v>
      </c>
      <c r="Y3" s="73" t="s">
        <v>137</v>
      </c>
      <c r="Z3" s="74" t="s">
        <v>138</v>
      </c>
      <c r="AA3" s="74" t="s">
        <v>139</v>
      </c>
      <c r="AB3" s="74" t="s">
        <v>140</v>
      </c>
      <c r="AC3" s="74" t="s">
        <v>141</v>
      </c>
      <c r="AD3" s="74" t="s">
        <v>142</v>
      </c>
      <c r="AE3" s="74" t="s">
        <v>143</v>
      </c>
      <c r="AF3" s="74" t="s">
        <v>144</v>
      </c>
      <c r="AG3" s="74" t="s">
        <v>145</v>
      </c>
      <c r="AH3" s="75" t="s">
        <v>135</v>
      </c>
      <c r="AI3" s="91" t="s">
        <v>146</v>
      </c>
      <c r="AJ3" s="91" t="s">
        <v>147</v>
      </c>
      <c r="AK3" s="91" t="s">
        <v>61</v>
      </c>
    </row>
    <row r="4" spans="1:37" s="76" customFormat="1" ht="78.75">
      <c r="A4" s="84" t="str">
        <f>CFLs!B39</f>
        <v>Energy Star CFL in Porches - 32  Watt</v>
      </c>
      <c r="B4" s="77" t="s">
        <v>128</v>
      </c>
      <c r="C4" s="77" t="s">
        <v>158</v>
      </c>
      <c r="D4" s="77" t="s">
        <v>155</v>
      </c>
      <c r="E4" s="78">
        <f>CFLs!E39</f>
        <v>6.96</v>
      </c>
      <c r="F4" s="94">
        <f>CFLs!F39</f>
        <v>-1.22</v>
      </c>
      <c r="G4" s="94">
        <f>CFLs!G39</f>
        <v>0</v>
      </c>
      <c r="H4" s="79">
        <f>CFLs!C39</f>
        <v>5.47945205479452</v>
      </c>
      <c r="I4" s="79" t="s">
        <v>159</v>
      </c>
      <c r="J4" s="92">
        <f>CFLs!D39</f>
        <v>90.44992</v>
      </c>
      <c r="K4" s="92">
        <f>CFLs!K39</f>
        <v>97.34672640000001</v>
      </c>
      <c r="L4" s="81">
        <f>CFLs!J39</f>
        <v>0.27799999713897705</v>
      </c>
      <c r="M4" s="86">
        <f>CFLs!L39</f>
        <v>0.007723284720516206</v>
      </c>
      <c r="N4" s="85">
        <f>CFLs!N39/CFLs!$K39</f>
        <v>0.17004911672147313</v>
      </c>
      <c r="O4" s="85">
        <f>CFLs!O39/CFLs!$K39</f>
        <v>-0.15911583475722346</v>
      </c>
      <c r="P4" s="85">
        <f>CFLs!P39/CFLs!$K39</f>
        <v>0</v>
      </c>
      <c r="Q4" s="85">
        <f>CFLs!N39/CFLs!$K39</f>
        <v>0.17004911672147313</v>
      </c>
      <c r="R4" s="80">
        <f>CFLs!S39/CFLs!$K39</f>
        <v>0.3882385009951399</v>
      </c>
      <c r="S4" s="80">
        <f>CFLs!T39/CFLs!$K39</f>
        <v>0.0030300735492853168</v>
      </c>
      <c r="T4" s="85">
        <f>CFLs!U39/CFLs!$K39</f>
        <v>0.04604997984624945</v>
      </c>
      <c r="U4" s="85">
        <f>CFLs!V39/CFLs!$K39</f>
        <v>0.43718115252444395</v>
      </c>
      <c r="V4" s="80">
        <f aca="true" t="shared" si="0" ref="V4:V12">U4-Q4</f>
        <v>0.26713203580297085</v>
      </c>
      <c r="W4" s="86">
        <f aca="true" t="shared" si="1" ref="W4:W12">U4/Q4</f>
        <v>2.570911045898061</v>
      </c>
      <c r="X4" s="81">
        <f>CFLs!I39</f>
        <v>0.4</v>
      </c>
      <c r="Y4" s="86">
        <f>CFLs!M39</f>
        <v>0.027781600132584572</v>
      </c>
      <c r="Z4" s="81">
        <f>CFLs!Y39/CFLs!K39</f>
        <v>0.07266362925962323</v>
      </c>
      <c r="AA4" s="80" t="s">
        <v>160</v>
      </c>
      <c r="AB4" s="87" t="s">
        <v>161</v>
      </c>
      <c r="AC4" s="80">
        <f>(-1*CFLs!O39)/CFLs!$K39</f>
        <v>0.15911583475722346</v>
      </c>
      <c r="AD4" s="80">
        <f>CFLs!AA39/CFLs!$K39</f>
        <v>0</v>
      </c>
      <c r="AE4" s="80">
        <f>CFLs!N39/CFLs!K39</f>
        <v>0.17004911672147313</v>
      </c>
      <c r="AF4" s="80">
        <f>U4+MeasureTable!Z4+MeasureTable!AC4+MeasureTable!AD4/CFLs!$K39</f>
        <v>0.6689606165412907</v>
      </c>
      <c r="AG4" s="80">
        <f aca="true" t="shared" si="2" ref="AG4:AG12">AF4-AE4</f>
        <v>0.4989114998198175</v>
      </c>
      <c r="AH4" s="81">
        <f aca="true" t="shared" si="3" ref="AH4:AH12">AF4/AE4</f>
        <v>3.933925852946327</v>
      </c>
      <c r="AI4" s="93" t="s">
        <v>341</v>
      </c>
      <c r="AJ4" s="93"/>
      <c r="AK4" s="346">
        <f>VLOOKUP(A4,CFLs!B$39:R$49,17,0)</f>
        <v>0.8588144073411537</v>
      </c>
    </row>
    <row r="5" spans="1:37" ht="78.75">
      <c r="A5" s="84" t="str">
        <f>CFLs!B40</f>
        <v>Energy Star CFL in Average - Exterior Wattage - 37  Watt</v>
      </c>
      <c r="B5" s="77" t="s">
        <v>128</v>
      </c>
      <c r="C5" s="77" t="s">
        <v>158</v>
      </c>
      <c r="D5" s="77" t="s">
        <v>155</v>
      </c>
      <c r="E5" s="78">
        <f>CFLs!E40</f>
        <v>9.98</v>
      </c>
      <c r="F5" s="94">
        <f>CFLs!F40</f>
        <v>-0.85</v>
      </c>
      <c r="G5" s="94">
        <f>CFLs!G40</f>
        <v>0</v>
      </c>
      <c r="H5" s="79">
        <f>CFLs!C40</f>
        <v>8.767123287671232</v>
      </c>
      <c r="I5" s="79" t="s">
        <v>159</v>
      </c>
      <c r="J5" s="92">
        <f>CFLs!D40</f>
        <v>68.0018944</v>
      </c>
      <c r="K5" s="92">
        <f>CFLs!K40</f>
        <v>73.18703884799999</v>
      </c>
      <c r="L5" s="81">
        <f>CFLs!J40</f>
        <v>0.27799999713897705</v>
      </c>
      <c r="M5" s="86">
        <f>CFLs!L40</f>
        <v>0.005806505876242637</v>
      </c>
      <c r="N5" s="85">
        <f>CFLs!N40/CFLs!$K40</f>
        <v>0.24693436285198644</v>
      </c>
      <c r="O5" s="85">
        <f>CFLs!O40/CFLs!$K40</f>
        <v>-0.14815069260438346</v>
      </c>
      <c r="P5" s="85">
        <f>CFLs!P40/CFLs!$K40</f>
        <v>0</v>
      </c>
      <c r="Q5" s="85">
        <f>CFLs!N40/CFLs!$K40</f>
        <v>0.24693436285198644</v>
      </c>
      <c r="R5" s="80">
        <f>CFLs!S40/CFLs!$K40</f>
        <v>0.38823850099513935</v>
      </c>
      <c r="S5" s="80">
        <f>CFLs!T40/CFLs!$K40</f>
        <v>0.0030300736881061084</v>
      </c>
      <c r="T5" s="85">
        <f>CFLs!U40/CFLs!$K40</f>
        <v>0.046049979917325706</v>
      </c>
      <c r="U5" s="85">
        <f>CFLs!V40/CFLs!$K40</f>
        <v>0.4371811525955197</v>
      </c>
      <c r="V5" s="80">
        <f t="shared" si="0"/>
        <v>0.19024678974353326</v>
      </c>
      <c r="W5" s="86">
        <f t="shared" si="1"/>
        <v>1.7704346513229834</v>
      </c>
      <c r="X5" s="81">
        <f>CFLs!I40</f>
        <v>0.4</v>
      </c>
      <c r="Y5" s="86">
        <f>CFLs!M40</f>
        <v>0.02088671177625656</v>
      </c>
      <c r="Z5" s="81">
        <f>CFLs!Y40/CFLs!K40</f>
        <v>0.07266363880753217</v>
      </c>
      <c r="AA5" s="80" t="s">
        <v>160</v>
      </c>
      <c r="AB5" s="87" t="s">
        <v>161</v>
      </c>
      <c r="AC5" s="80">
        <f>(-1*CFLs!O40)/CFLs!$K40</f>
        <v>0.14815069260438346</v>
      </c>
      <c r="AD5" s="80">
        <f>CFLs!AA40/CFLs!$K40</f>
        <v>0</v>
      </c>
      <c r="AE5" s="80">
        <f>CFLs!N40/CFLs!K40</f>
        <v>0.24693436285198644</v>
      </c>
      <c r="AF5" s="80">
        <f>U5+MeasureTable!Z5+MeasureTable!AC5+MeasureTable!AD5/CFLs!$K40</f>
        <v>0.6579954840074353</v>
      </c>
      <c r="AG5" s="80">
        <f t="shared" si="2"/>
        <v>0.4110611211554489</v>
      </c>
      <c r="AH5" s="81">
        <f t="shared" si="3"/>
        <v>2.664657427212108</v>
      </c>
      <c r="AI5" s="93" t="s">
        <v>341</v>
      </c>
      <c r="AJ5" s="93"/>
      <c r="AK5" s="346">
        <f>VLOOKUP(A5,CFLs!B$39:R$49,17,0)</f>
        <v>7.759503693610115</v>
      </c>
    </row>
    <row r="6" spans="1:37" ht="78.75">
      <c r="A6" s="84" t="str">
        <f>CFLs!B41</f>
        <v>Energy Star CFL in Average - Interior Wattage - 101  Watt</v>
      </c>
      <c r="B6" s="77" t="s">
        <v>128</v>
      </c>
      <c r="C6" s="77" t="s">
        <v>158</v>
      </c>
      <c r="D6" s="77" t="s">
        <v>155</v>
      </c>
      <c r="E6" s="78">
        <f>CFLs!E41</f>
        <v>29.27</v>
      </c>
      <c r="F6" s="94">
        <f>CFLs!F41</f>
        <v>-0.7</v>
      </c>
      <c r="G6" s="94">
        <f>CFLs!G41</f>
        <v>0</v>
      </c>
      <c r="H6" s="79">
        <f>CFLs!C41</f>
        <v>12.942351598173518</v>
      </c>
      <c r="I6" s="79" t="s">
        <v>159</v>
      </c>
      <c r="J6" s="92">
        <f>CFLs!D41</f>
        <v>178.51715153690031</v>
      </c>
      <c r="K6" s="92">
        <f>CFLs!K41</f>
        <v>192.12908434158896</v>
      </c>
      <c r="L6" s="81">
        <f>CFLs!J41</f>
        <v>0.27799999713897705</v>
      </c>
      <c r="M6" s="86">
        <f>CFLs!L41</f>
        <v>0.015243117835980596</v>
      </c>
      <c r="N6" s="85">
        <f>CFLs!N41/CFLs!$K41</f>
        <v>0.20412073191950234</v>
      </c>
      <c r="O6" s="85">
        <f>CFLs!O41/CFLs!$K41</f>
        <v>-0.04613755178230942</v>
      </c>
      <c r="P6" s="85">
        <f>CFLs!P41/CFLs!$K41</f>
        <v>0</v>
      </c>
      <c r="Q6" s="85">
        <f>CFLs!N41/CFLs!$K41</f>
        <v>0.20412073191950234</v>
      </c>
      <c r="R6" s="80">
        <f>CFLs!S41/CFLs!$K41</f>
        <v>0.38823850099514</v>
      </c>
      <c r="S6" s="80">
        <f>CFLs!T41/CFLs!$K41</f>
        <v>0.003030073780037696</v>
      </c>
      <c r="T6" s="80">
        <f>CFLs!U41/CFLs!$K41</f>
        <v>0.04604997693115132</v>
      </c>
      <c r="U6" s="80">
        <f>CFLs!V41/CFLs!$K41</f>
        <v>0.437181149609346</v>
      </c>
      <c r="V6" s="80">
        <f t="shared" si="0"/>
        <v>0.23306041768984367</v>
      </c>
      <c r="W6" s="86">
        <f t="shared" si="1"/>
        <v>2.1417772976718212</v>
      </c>
      <c r="X6" s="81">
        <f>CFLs!I41</f>
        <v>0.4</v>
      </c>
      <c r="Y6" s="86">
        <f>CFLs!M41</f>
        <v>0.054831359535455704</v>
      </c>
      <c r="Z6" s="81">
        <f>CFLs!Y41/CFLs!K41</f>
        <v>0.07266362822705218</v>
      </c>
      <c r="AA6" s="80" t="s">
        <v>160</v>
      </c>
      <c r="AB6" s="87" t="s">
        <v>161</v>
      </c>
      <c r="AC6" s="80">
        <f>(-1*CFLs!O41)/CFLs!$K41</f>
        <v>0.04613755178230942</v>
      </c>
      <c r="AD6" s="80">
        <f>CFLs!AA41/CFLs!$K41</f>
        <v>0</v>
      </c>
      <c r="AE6" s="80">
        <f>CFLs!N41/CFLs!K41</f>
        <v>0.20412073191950234</v>
      </c>
      <c r="AF6" s="80">
        <f>U6+MeasureTable!Z6+MeasureTable!AC6+MeasureTable!AD6/CFLs!$K41</f>
        <v>0.5559823296187075</v>
      </c>
      <c r="AG6" s="80">
        <f t="shared" si="2"/>
        <v>0.3518615976992052</v>
      </c>
      <c r="AH6" s="81">
        <f t="shared" si="3"/>
        <v>2.723791573694564</v>
      </c>
      <c r="AI6" s="93" t="s">
        <v>341</v>
      </c>
      <c r="AJ6" s="93"/>
      <c r="AK6" s="346">
        <f>VLOOKUP(A6,CFLs!B$39:R$49,17,0)</f>
        <v>12.40965268756147</v>
      </c>
    </row>
    <row r="7" spans="1:37" ht="67.5">
      <c r="A7" s="84" t="str">
        <f>CFLs!B42</f>
        <v>Energy Star CFL in Kitchens - 116  Watt</v>
      </c>
      <c r="B7" s="77" t="s">
        <v>128</v>
      </c>
      <c r="C7" s="77" t="s">
        <v>158</v>
      </c>
      <c r="D7" s="77" t="s">
        <v>155</v>
      </c>
      <c r="E7" s="78">
        <f>CFLs!E42</f>
        <v>31.68</v>
      </c>
      <c r="F7" s="94">
        <f>CFLs!F42</f>
        <v>-1.22</v>
      </c>
      <c r="G7" s="94">
        <f>CFLs!G42</f>
        <v>0</v>
      </c>
      <c r="H7" s="79">
        <f>CFLs!C42</f>
        <v>5.47945205479452</v>
      </c>
      <c r="I7" s="79" t="s">
        <v>159</v>
      </c>
      <c r="J7" s="92">
        <f>CFLs!D42</f>
        <v>342.6565252356765</v>
      </c>
      <c r="K7" s="92">
        <f>CFLs!K42</f>
        <v>368.78408528489683</v>
      </c>
      <c r="L7" s="81">
        <f>CFLs!J42</f>
        <v>0.27799999713897705</v>
      </c>
      <c r="M7" s="86">
        <f>CFLs!L42</f>
        <v>0.029258554410417116</v>
      </c>
      <c r="N7" s="85">
        <f>CFLs!N42/CFLs!$K42</f>
        <v>0.2044292570060989</v>
      </c>
      <c r="O7" s="85">
        <f>CFLs!O42/CFLs!$K42</f>
        <v>-0.0420012854406475</v>
      </c>
      <c r="P7" s="85">
        <f>CFLs!P42/CFLs!$K42</f>
        <v>0</v>
      </c>
      <c r="Q7" s="85">
        <f>CFLs!N42/CFLs!$K42</f>
        <v>0.2044292570060989</v>
      </c>
      <c r="R7" s="80">
        <f>CFLs!S42/CFLs!$K42</f>
        <v>0.3882385009951405</v>
      </c>
      <c r="S7" s="80">
        <f>CFLs!T42/CFLs!$K42</f>
        <v>0.0030300737208989073</v>
      </c>
      <c r="T7" s="80">
        <f>CFLs!U42/CFLs!$K42</f>
        <v>0.04604998088020651</v>
      </c>
      <c r="U7" s="80">
        <f>CFLs!V42/CFLs!$K42</f>
        <v>0.43718115355840165</v>
      </c>
      <c r="V7" s="80">
        <f t="shared" si="0"/>
        <v>0.23275189655230274</v>
      </c>
      <c r="W7" s="86">
        <f t="shared" si="1"/>
        <v>2.138544941956908</v>
      </c>
      <c r="X7" s="81">
        <f>CFLs!I42</f>
        <v>0.4</v>
      </c>
      <c r="Y7" s="86">
        <f>CFLs!M42</f>
        <v>0.10524659603834152</v>
      </c>
      <c r="Z7" s="81">
        <f>CFLs!Y42/CFLs!K42</f>
        <v>0.07266363868852974</v>
      </c>
      <c r="AA7" s="80" t="s">
        <v>160</v>
      </c>
      <c r="AB7" s="87" t="s">
        <v>161</v>
      </c>
      <c r="AC7" s="80">
        <f>(-1*CFLs!O42)/CFLs!$K42</f>
        <v>0.0420012854406475</v>
      </c>
      <c r="AD7" s="80">
        <f>CFLs!AA42/CFLs!$K42</f>
        <v>0</v>
      </c>
      <c r="AE7" s="80">
        <f>CFLs!N42/CFLs!K42</f>
        <v>0.2044292570060989</v>
      </c>
      <c r="AF7" s="80">
        <f>U7+MeasureTable!Z7+MeasureTable!AC7+MeasureTable!AD7/CFLs!$K42</f>
        <v>0.5518460776875789</v>
      </c>
      <c r="AG7" s="80">
        <f t="shared" si="2"/>
        <v>0.34741682068147994</v>
      </c>
      <c r="AH7" s="81">
        <f t="shared" si="3"/>
        <v>2.699447651326714</v>
      </c>
      <c r="AI7" s="93" t="s">
        <v>341</v>
      </c>
      <c r="AJ7" s="93"/>
      <c r="AK7" s="346">
        <f>VLOOKUP(A7,CFLs!B$39:R$49,17,0)</f>
        <v>12.75879313515025</v>
      </c>
    </row>
    <row r="8" spans="1:37" ht="67.5">
      <c r="A8" s="84" t="str">
        <f>CFLs!B43</f>
        <v>Energy Star CFL in Yard/ Driveway - 40.8  Watt</v>
      </c>
      <c r="B8" s="77" t="s">
        <v>128</v>
      </c>
      <c r="C8" s="77" t="s">
        <v>158</v>
      </c>
      <c r="D8" s="77" t="s">
        <v>155</v>
      </c>
      <c r="E8" s="78">
        <f>CFLs!E43</f>
        <v>12</v>
      </c>
      <c r="F8" s="94">
        <f>CFLs!F43</f>
        <v>-0.61</v>
      </c>
      <c r="G8" s="94">
        <f>CFLs!G43</f>
        <v>0</v>
      </c>
      <c r="H8" s="79">
        <f>CFLs!C43</f>
        <v>10.95890410958904</v>
      </c>
      <c r="I8" s="79" t="s">
        <v>159</v>
      </c>
      <c r="J8" s="92">
        <f>CFLs!D43</f>
        <v>53.036544000000006</v>
      </c>
      <c r="K8" s="92">
        <f>CFLs!K43</f>
        <v>57.08058048</v>
      </c>
      <c r="L8" s="81">
        <f>CFLs!J43</f>
        <v>0.27799999713897705</v>
      </c>
      <c r="M8" s="86">
        <f>CFLs!L43</f>
        <v>0.004528653313393592</v>
      </c>
      <c r="N8" s="85">
        <f>CFLs!N43/CFLs!$K43</f>
        <v>0.3190273936308709</v>
      </c>
      <c r="O8" s="85">
        <f>CFLs!O43/CFLs!$K43</f>
        <v>-0.13566901691051828</v>
      </c>
      <c r="P8" s="85">
        <f>CFLs!P43/CFLs!$K43</f>
        <v>0</v>
      </c>
      <c r="Q8" s="85">
        <f>CFLs!N43/CFLs!$K43</f>
        <v>0.3190273936308709</v>
      </c>
      <c r="R8" s="80">
        <f>CFLs!S43/CFLs!$K43</f>
        <v>0.3882385009951397</v>
      </c>
      <c r="S8" s="80">
        <f>CFLs!T43/CFLs!$K43</f>
        <v>0.0030300735848837025</v>
      </c>
      <c r="T8" s="80">
        <f>CFLs!U43/CFLs!$K43</f>
        <v>0.0460499799981359</v>
      </c>
      <c r="U8" s="80">
        <f>CFLs!V43/CFLs!$K43</f>
        <v>0.43718115267633023</v>
      </c>
      <c r="V8" s="80">
        <f t="shared" si="0"/>
        <v>0.11815375904545933</v>
      </c>
      <c r="W8" s="86">
        <f t="shared" si="1"/>
        <v>1.3703561556289694</v>
      </c>
      <c r="X8" s="81">
        <f>CFLs!I43</f>
        <v>0.4</v>
      </c>
      <c r="Y8" s="86">
        <f>CFLs!M43</f>
        <v>0.016290120780467987</v>
      </c>
      <c r="Z8" s="81">
        <f>CFLs!Y43/CFLs!K43</f>
        <v>0.07266363852469646</v>
      </c>
      <c r="AA8" s="80" t="s">
        <v>160</v>
      </c>
      <c r="AB8" s="87" t="s">
        <v>161</v>
      </c>
      <c r="AC8" s="80">
        <f>(-1*CFLs!O43)/CFLs!$K43</f>
        <v>0.13566901691051828</v>
      </c>
      <c r="AD8" s="80">
        <f>CFLs!AA43/CFLs!$K43</f>
        <v>0</v>
      </c>
      <c r="AE8" s="80">
        <f>CFLs!N43/CFLs!K43</f>
        <v>0.3190273936308709</v>
      </c>
      <c r="AF8" s="80">
        <f>U8+MeasureTable!Z8+MeasureTable!AC8+MeasureTable!AD8/CFLs!$K43</f>
        <v>0.6455138081115449</v>
      </c>
      <c r="AG8" s="80">
        <f t="shared" si="2"/>
        <v>0.326486414480674</v>
      </c>
      <c r="AH8" s="81">
        <f t="shared" si="3"/>
        <v>2.0233805027364937</v>
      </c>
      <c r="AI8" s="93" t="s">
        <v>341</v>
      </c>
      <c r="AJ8" s="93"/>
      <c r="AK8" s="346">
        <f>VLOOKUP(A8,CFLs!B$39:R$49,17,0)</f>
        <v>14.402886845777658</v>
      </c>
    </row>
    <row r="9" spans="1:37" ht="67.5">
      <c r="A9" s="84" t="str">
        <f>CFLs!B44</f>
        <v>Energy Star CFL in Living Rooms - 100  Watt</v>
      </c>
      <c r="B9" s="77" t="s">
        <v>128</v>
      </c>
      <c r="C9" s="77" t="s">
        <v>158</v>
      </c>
      <c r="D9" s="77" t="s">
        <v>155</v>
      </c>
      <c r="E9" s="78">
        <f>CFLs!E44</f>
        <v>25.63</v>
      </c>
      <c r="F9" s="94">
        <f>CFLs!F44</f>
        <v>-0.91</v>
      </c>
      <c r="G9" s="94">
        <f>CFLs!G44</f>
        <v>0</v>
      </c>
      <c r="H9" s="79">
        <f>CFLs!C44</f>
        <v>7.305936073059359</v>
      </c>
      <c r="I9" s="79" t="s">
        <v>159</v>
      </c>
      <c r="J9" s="92">
        <f>CFLs!D44</f>
        <v>221.54516717823913</v>
      </c>
      <c r="K9" s="92">
        <f>CFLs!K44</f>
        <v>238.43798617557985</v>
      </c>
      <c r="L9" s="81">
        <f>CFLs!J44</f>
        <v>0.27799999713897705</v>
      </c>
      <c r="M9" s="86">
        <f>CFLs!L44</f>
        <v>0.018917168799838655</v>
      </c>
      <c r="N9" s="85">
        <f>CFLs!N44/CFLs!$K44</f>
        <v>0.2262908580588869</v>
      </c>
      <c r="O9" s="85">
        <f>CFLs!O44/CFLs!$K44</f>
        <v>-0.048720158219647355</v>
      </c>
      <c r="P9" s="85">
        <f>CFLs!P44/CFLs!$K44</f>
        <v>0</v>
      </c>
      <c r="Q9" s="85">
        <f>CFLs!N44/CFLs!$K44</f>
        <v>0.2262908580588869</v>
      </c>
      <c r="R9" s="80">
        <f>CFLs!S44/CFLs!$K44</f>
        <v>0.38823850099513985</v>
      </c>
      <c r="S9" s="80">
        <f>CFLs!T44/CFLs!$K44</f>
        <v>0.0030300736045290695</v>
      </c>
      <c r="T9" s="80">
        <f>CFLs!U44/CFLs!$K44</f>
        <v>0.046049979569968334</v>
      </c>
      <c r="U9" s="80">
        <f>CFLs!V44/CFLs!$K44</f>
        <v>0.43718115224816284</v>
      </c>
      <c r="V9" s="80">
        <f t="shared" si="0"/>
        <v>0.21089029418927593</v>
      </c>
      <c r="W9" s="86">
        <f t="shared" si="1"/>
        <v>1.9319434996105616</v>
      </c>
      <c r="X9" s="81">
        <f>CFLs!I44</f>
        <v>0.4</v>
      </c>
      <c r="Y9" s="86">
        <f>CFLs!M44</f>
        <v>0.06804736703634262</v>
      </c>
      <c r="Z9" s="81">
        <f>CFLs!Y44/CFLs!K44</f>
        <v>0.07266364523972062</v>
      </c>
      <c r="AA9" s="80" t="s">
        <v>160</v>
      </c>
      <c r="AB9" s="87" t="s">
        <v>161</v>
      </c>
      <c r="AC9" s="80">
        <f>(-1*CFLs!O44)/CFLs!$K44</f>
        <v>0.048720158219647355</v>
      </c>
      <c r="AD9" s="80">
        <f>CFLs!AA44/CFLs!$K44</f>
        <v>0</v>
      </c>
      <c r="AE9" s="80">
        <f>CFLs!N44/CFLs!K44</f>
        <v>0.2262908580588869</v>
      </c>
      <c r="AF9" s="80">
        <f>U9+MeasureTable!Z9+MeasureTable!AC9+MeasureTable!AD9/CFLs!$K44</f>
        <v>0.5585649557075308</v>
      </c>
      <c r="AG9" s="80">
        <f t="shared" si="2"/>
        <v>0.3322740976486439</v>
      </c>
      <c r="AH9" s="81">
        <f t="shared" si="3"/>
        <v>2.4683496297591367</v>
      </c>
      <c r="AI9" s="93" t="s">
        <v>341</v>
      </c>
      <c r="AJ9" s="93"/>
      <c r="AK9" s="346">
        <f>VLOOKUP(A9,CFLs!B$39:R$49,17,0)</f>
        <v>13.948261863990288</v>
      </c>
    </row>
    <row r="10" spans="1:37" ht="67.5">
      <c r="A10" s="84" t="str">
        <f>CFLs!B45</f>
        <v>Energy Star CFL in Weighted Average - Interior &amp; Exterior Wattage - 92  Watt</v>
      </c>
      <c r="B10" s="77" t="s">
        <v>128</v>
      </c>
      <c r="C10" s="77" t="s">
        <v>158</v>
      </c>
      <c r="D10" s="77" t="s">
        <v>155</v>
      </c>
      <c r="E10" s="78">
        <f>CFLs!E45</f>
        <v>26.66</v>
      </c>
      <c r="F10" s="94">
        <f>CFLs!F45</f>
        <v>-0.72</v>
      </c>
      <c r="G10" s="94">
        <f>CFLs!G45</f>
        <v>0</v>
      </c>
      <c r="H10" s="79">
        <f>CFLs!C45</f>
        <v>9.294657926757466</v>
      </c>
      <c r="I10" s="79" t="s">
        <v>159</v>
      </c>
      <c r="J10" s="92">
        <f>CFLs!D45</f>
        <v>163.58265732921112</v>
      </c>
      <c r="K10" s="92">
        <f>CFLs!K45</f>
        <v>176.05583495056348</v>
      </c>
      <c r="L10" s="81">
        <f>CFLs!J45</f>
        <v>0.27799999713897705</v>
      </c>
      <c r="M10" s="86">
        <f>CFLs!L45</f>
        <v>0.01396790000358358</v>
      </c>
      <c r="N10" s="85">
        <f>CFLs!N45/CFLs!$K45</f>
        <v>0.2616158173461009</v>
      </c>
      <c r="O10" s="85">
        <f>CFLs!O45/CFLs!$K45</f>
        <v>-0.05186825589381973</v>
      </c>
      <c r="P10" s="85">
        <f>CFLs!P45/CFLs!$K45</f>
        <v>0</v>
      </c>
      <c r="Q10" s="85">
        <f>CFLs!N45/CFLs!$K45</f>
        <v>0.2616158173461009</v>
      </c>
      <c r="R10" s="80">
        <f>CFLs!S45/CFLs!$K45</f>
        <v>0.38823850099513935</v>
      </c>
      <c r="S10" s="80">
        <f>CFLs!T45/CFLs!$K45</f>
        <v>0.0030300737657231874</v>
      </c>
      <c r="T10" s="80">
        <f>CFLs!U45/CFLs!$K45</f>
        <v>0.04604997907533434</v>
      </c>
      <c r="U10" s="80">
        <f>CFLs!V45/CFLs!$K45</f>
        <v>0.4371811517535284</v>
      </c>
      <c r="V10" s="80">
        <f t="shared" si="0"/>
        <v>0.1755653344074275</v>
      </c>
      <c r="W10" s="86">
        <f t="shared" si="1"/>
        <v>1.671080732764586</v>
      </c>
      <c r="X10" s="81">
        <f>CFLs!I45</f>
        <v>0.4</v>
      </c>
      <c r="Y10" s="86">
        <f>CFLs!M45</f>
        <v>0.05024424567818642</v>
      </c>
      <c r="Z10" s="81">
        <f>CFLs!Y45/CFLs!K45</f>
        <v>0.0726636417780276</v>
      </c>
      <c r="AA10" s="80" t="s">
        <v>160</v>
      </c>
      <c r="AB10" s="87" t="s">
        <v>161</v>
      </c>
      <c r="AC10" s="80">
        <f>(-1*CFLs!O45)/CFLs!$K45</f>
        <v>0.05186825589381973</v>
      </c>
      <c r="AD10" s="80">
        <f>CFLs!AA45/CFLs!$K45</f>
        <v>0</v>
      </c>
      <c r="AE10" s="80">
        <f>CFLs!N45/CFLs!K45</f>
        <v>0.2616158173461009</v>
      </c>
      <c r="AF10" s="80">
        <f>U10+MeasureTable!Z10+MeasureTable!AC10+MeasureTable!AD10/CFLs!$K45</f>
        <v>0.5617130494253757</v>
      </c>
      <c r="AG10" s="80">
        <f t="shared" si="2"/>
        <v>0.3000972320792748</v>
      </c>
      <c r="AH10" s="81">
        <f t="shared" si="3"/>
        <v>2.14709131551578</v>
      </c>
      <c r="AI10" s="93" t="s">
        <v>341</v>
      </c>
      <c r="AJ10" s="93"/>
      <c r="AK10" s="346">
        <f>VLOOKUP(A10,CFLs!B$39:R$49,17,0)</f>
        <v>16.47576851377083</v>
      </c>
    </row>
    <row r="11" spans="1:37" ht="67.5">
      <c r="A11" s="84" t="str">
        <f>CFLs!B46</f>
        <v>Energy Star CFL  Weighted Average - Whole House Savings</v>
      </c>
      <c r="B11" s="77" t="s">
        <v>128</v>
      </c>
      <c r="C11" s="77" t="s">
        <v>158</v>
      </c>
      <c r="D11" s="77" t="s">
        <v>155</v>
      </c>
      <c r="E11" s="78">
        <f>CFLs!E46</f>
        <v>163.08</v>
      </c>
      <c r="F11" s="94">
        <f>CFLs!F46</f>
        <v>-3.35</v>
      </c>
      <c r="G11" s="94">
        <f>CFLs!G46</f>
        <v>0</v>
      </c>
      <c r="H11" s="79">
        <f>CFLs!C46</f>
        <v>9.294657926757466</v>
      </c>
      <c r="I11" s="79" t="s">
        <v>159</v>
      </c>
      <c r="J11" s="92">
        <f>CFLs!D46</f>
        <v>969.9484113134216</v>
      </c>
      <c r="K11" s="92">
        <f>CFLs!K46</f>
        <v>1043.90697767607</v>
      </c>
      <c r="L11" s="81">
        <f>CFLs!J46</f>
        <v>0.27799999713897705</v>
      </c>
      <c r="M11" s="86">
        <f>CFLs!L46</f>
        <v>0.0828213860751443</v>
      </c>
      <c r="N11" s="85">
        <f>CFLs!N46/CFLs!$K46</f>
        <v>0.2698958167819171</v>
      </c>
      <c r="O11" s="85">
        <f>CFLs!O46/CFLs!$K46</f>
        <v>-0.04080275095300674</v>
      </c>
      <c r="P11" s="85">
        <f>CFLs!P46/CFLs!$K46</f>
        <v>0</v>
      </c>
      <c r="Q11" s="85">
        <f>CFLs!N46/CFLs!$K46</f>
        <v>0.2698958167819171</v>
      </c>
      <c r="R11" s="80">
        <f>CFLs!S46/CFLs!$K46</f>
        <v>0.3882385009951392</v>
      </c>
      <c r="S11" s="80">
        <f>CFLs!T46/CFLs!$K46</f>
        <v>0.0030300736485240564</v>
      </c>
      <c r="T11" s="80">
        <f>CFLs!U46/CFLs!$K46</f>
        <v>0.04604998014898048</v>
      </c>
      <c r="U11" s="80">
        <f>CFLs!V46/CFLs!$K46</f>
        <v>0.4371811528271743</v>
      </c>
      <c r="V11" s="80">
        <f t="shared" si="0"/>
        <v>0.1672853360452572</v>
      </c>
      <c r="W11" s="86">
        <f t="shared" si="1"/>
        <v>1.6198144826395295</v>
      </c>
      <c r="X11" s="81">
        <f>CFLs!I46</f>
        <v>0.4</v>
      </c>
      <c r="Y11" s="86">
        <f>CFLs!M46</f>
        <v>0.2979186475276947</v>
      </c>
      <c r="Z11" s="81">
        <f>CFLs!Y46/CFLs!K46</f>
        <v>0.07266362478989405</v>
      </c>
      <c r="AA11" s="80" t="s">
        <v>160</v>
      </c>
      <c r="AB11" s="87" t="s">
        <v>161</v>
      </c>
      <c r="AC11" s="80">
        <f>(-1*CFLs!O46)/CFLs!$K46</f>
        <v>0.04080275095300674</v>
      </c>
      <c r="AD11" s="80">
        <f>CFLs!AA46/CFLs!$K46</f>
        <v>0</v>
      </c>
      <c r="AE11" s="80">
        <f>CFLs!N46/CFLs!K46</f>
        <v>0.2698958167819171</v>
      </c>
      <c r="AF11" s="80">
        <f>U11+MeasureTable!Z11+MeasureTable!AC11+MeasureTable!AD11/CFLs!$K46</f>
        <v>0.5506475285700752</v>
      </c>
      <c r="AG11" s="80">
        <f t="shared" si="2"/>
        <v>0.28075171178815805</v>
      </c>
      <c r="AH11" s="81">
        <f t="shared" si="3"/>
        <v>2.0402225389621833</v>
      </c>
      <c r="AI11" s="93" t="s">
        <v>341</v>
      </c>
      <c r="AJ11" s="93"/>
      <c r="AK11" s="346">
        <f>VLOOKUP(A11,CFLs!B$39:R$49,17,0)</f>
        <v>17.99536798453146</v>
      </c>
    </row>
    <row r="12" spans="1:37" ht="67.5">
      <c r="A12" s="84" t="str">
        <f>CFLs!B47</f>
        <v>Energy Star CFL in Bathrooms - 112  Watt</v>
      </c>
      <c r="B12" s="77" t="s">
        <v>128</v>
      </c>
      <c r="C12" s="77" t="s">
        <v>158</v>
      </c>
      <c r="D12" s="77" t="s">
        <v>155</v>
      </c>
      <c r="E12" s="78">
        <f>CFLs!E47</f>
        <v>33.28</v>
      </c>
      <c r="F12" s="94">
        <f>CFLs!F47</f>
        <v>-0.61</v>
      </c>
      <c r="G12" s="94">
        <f>CFLs!G47</f>
        <v>0</v>
      </c>
      <c r="H12" s="79">
        <f>CFLs!C47</f>
        <v>10.95890410958904</v>
      </c>
      <c r="I12" s="79" t="s">
        <v>159</v>
      </c>
      <c r="J12" s="92">
        <f>CFLs!D47</f>
        <v>165.4203914930852</v>
      </c>
      <c r="K12" s="92">
        <f>CFLs!K47</f>
        <v>178.03369634443294</v>
      </c>
      <c r="L12" s="81">
        <f>CFLs!J47</f>
        <v>0.27799999713897705</v>
      </c>
      <c r="M12" s="86">
        <f>CFLs!L47</f>
        <v>0.014124819370546193</v>
      </c>
      <c r="N12" s="85">
        <f>CFLs!N47/CFLs!$K47</f>
        <v>0.28374744518450373</v>
      </c>
      <c r="O12" s="85">
        <f>CFLs!O47/CFLs!$K47</f>
        <v>-0.043497755747435925</v>
      </c>
      <c r="P12" s="85">
        <f>CFLs!P47/CFLs!$K47</f>
        <v>0</v>
      </c>
      <c r="Q12" s="85">
        <f>CFLs!N47/CFLs!$K47</f>
        <v>0.28374744518450373</v>
      </c>
      <c r="R12" s="80">
        <f>CFLs!S47/CFLs!$K47</f>
        <v>0.3882385009951397</v>
      </c>
      <c r="S12" s="80">
        <f>CFLs!T47/CFLs!$K47</f>
        <v>0.0030300737786220413</v>
      </c>
      <c r="T12" s="80">
        <f>CFLs!U47/CFLs!$K47</f>
        <v>0.0460499801413504</v>
      </c>
      <c r="U12" s="80">
        <f>CFLs!V47/CFLs!$K47</f>
        <v>0.4371811528195447</v>
      </c>
      <c r="V12" s="80">
        <f t="shared" si="0"/>
        <v>0.153433707635041</v>
      </c>
      <c r="W12" s="86">
        <f t="shared" si="1"/>
        <v>1.5407404022096918</v>
      </c>
      <c r="X12" s="81">
        <f>CFLs!I47</f>
        <v>0.4</v>
      </c>
      <c r="Y12" s="86">
        <f>CFLs!M47</f>
        <v>0.050808701664209366</v>
      </c>
      <c r="Z12" s="81">
        <f>CFLs!Y47/CFLs!K47</f>
        <v>0.07266363702610348</v>
      </c>
      <c r="AA12" s="80" t="s">
        <v>160</v>
      </c>
      <c r="AB12" s="87" t="s">
        <v>161</v>
      </c>
      <c r="AC12" s="80">
        <f>(-1*CFLs!O47)/CFLs!$K47</f>
        <v>0.043497755747435925</v>
      </c>
      <c r="AD12" s="80">
        <f>CFLs!AA47/CFLs!$K47</f>
        <v>0</v>
      </c>
      <c r="AE12" s="80">
        <f>CFLs!N47/CFLs!K47</f>
        <v>0.28374744518450373</v>
      </c>
      <c r="AF12" s="80">
        <f>U12+MeasureTable!Z12+MeasureTable!AC12+MeasureTable!AD12/CFLs!$K47</f>
        <v>0.5533425455930842</v>
      </c>
      <c r="AG12" s="80">
        <f t="shared" si="2"/>
        <v>0.2695951004085804</v>
      </c>
      <c r="AH12" s="81">
        <f t="shared" si="3"/>
        <v>1.9501234459865502</v>
      </c>
      <c r="AI12" s="93" t="s">
        <v>341</v>
      </c>
      <c r="AJ12" s="93"/>
      <c r="AK12" s="346">
        <f>VLOOKUP(A12,CFLs!B$39:R$49,17,0)</f>
        <v>18.871726465670925</v>
      </c>
    </row>
    <row r="13" spans="1:37" ht="67.5">
      <c r="A13" s="84" t="str">
        <f>CFLs!B48</f>
        <v>Energy Star CFL in Master Bedrooms - 80  Watt</v>
      </c>
      <c r="B13" s="77" t="s">
        <v>128</v>
      </c>
      <c r="C13" s="77" t="s">
        <v>158</v>
      </c>
      <c r="D13" s="77" t="s">
        <v>155</v>
      </c>
      <c r="E13" s="78">
        <f>CFLs!E48</f>
        <v>22.88</v>
      </c>
      <c r="F13" s="94">
        <f>CFLs!F48</f>
        <v>-0.3</v>
      </c>
      <c r="G13" s="94">
        <f>CFLs!G48</f>
        <v>0</v>
      </c>
      <c r="H13" s="79">
        <f>CFLs!C48</f>
        <v>21.91780821917808</v>
      </c>
      <c r="I13" s="79" t="s">
        <v>159</v>
      </c>
      <c r="J13" s="92">
        <f>CFLs!D48</f>
        <v>59.07871124753043</v>
      </c>
      <c r="K13" s="92">
        <f>CFLs!K48</f>
        <v>63.58346298015462</v>
      </c>
      <c r="L13" s="81">
        <f>CFLs!J48</f>
        <v>0.27799999713897705</v>
      </c>
      <c r="M13" s="86">
        <f>CFLs!L48</f>
        <v>0.0050445783466236405</v>
      </c>
      <c r="N13" s="85">
        <f>CFLs!N48/CFLs!$K48</f>
        <v>0.34079348624559463</v>
      </c>
      <c r="O13" s="85">
        <f>CFLs!O48/CFLs!$K48</f>
        <v>-0.06090685848238313</v>
      </c>
      <c r="P13" s="85">
        <f>CFLs!P48/CFLs!$K48</f>
        <v>0</v>
      </c>
      <c r="Q13" s="85">
        <f>CFLs!N48/CFLs!$K48</f>
        <v>0.34079348624559463</v>
      </c>
      <c r="R13" s="80">
        <f>CFLs!S48/CFLs!$K48</f>
        <v>0.3882385009951401</v>
      </c>
      <c r="S13" s="80">
        <f>CFLs!T48/CFLs!$K48</f>
        <v>0.0030300737451426237</v>
      </c>
      <c r="T13" s="80">
        <f>CFLs!U48/CFLs!$K48</f>
        <v>0.04604997907000903</v>
      </c>
      <c r="U13" s="80">
        <f>CFLs!V48/CFLs!$K48</f>
        <v>0.4371811517482038</v>
      </c>
      <c r="V13" s="80">
        <f>U13-Q13</f>
        <v>0.09638766550260919</v>
      </c>
      <c r="W13" s="86">
        <f>U13/Q13</f>
        <v>1.2828330628160742</v>
      </c>
      <c r="X13" s="81">
        <f>CFLs!I48</f>
        <v>0.4</v>
      </c>
      <c r="Y13" s="86">
        <f>CFLs!M48</f>
        <v>0.018145965412259102</v>
      </c>
      <c r="Z13" s="81">
        <f>CFLs!Y48/CFLs!K48</f>
        <v>0.07266362524134846</v>
      </c>
      <c r="AA13" s="80" t="s">
        <v>160</v>
      </c>
      <c r="AB13" s="87" t="s">
        <v>161</v>
      </c>
      <c r="AC13" s="80">
        <f>(-1*CFLs!O48)/CFLs!$K48</f>
        <v>0.06090685848238313</v>
      </c>
      <c r="AD13" s="80">
        <f>CFLs!AA48/CFLs!$K48</f>
        <v>0</v>
      </c>
      <c r="AE13" s="80">
        <f>CFLs!N48/CFLs!K48</f>
        <v>0.34079348624559463</v>
      </c>
      <c r="AF13" s="80">
        <f>U13+MeasureTable!Z13+MeasureTable!AC13+MeasureTable!AD13/CFLs!$K48</f>
        <v>0.5707516354719354</v>
      </c>
      <c r="AG13" s="80">
        <f>AF13-AE13</f>
        <v>0.22995814922634078</v>
      </c>
      <c r="AH13" s="81">
        <f>AF13/AE13</f>
        <v>1.6747727245602935</v>
      </c>
      <c r="AI13" s="93" t="s">
        <v>341</v>
      </c>
      <c r="AJ13" s="93"/>
      <c r="AK13" s="346">
        <f>VLOOKUP(A13,CFLs!B$39:R$49,17,0)</f>
        <v>21.985226606569842</v>
      </c>
    </row>
    <row r="14" spans="1:37" ht="67.5">
      <c r="A14" s="84" t="str">
        <f>CFLs!B49</f>
        <v>Energy Star CFL in Bedrooms - 88.4  Watt</v>
      </c>
      <c r="B14" s="77" t="s">
        <v>128</v>
      </c>
      <c r="C14" s="77" t="s">
        <v>158</v>
      </c>
      <c r="D14" s="77" t="s">
        <v>155</v>
      </c>
      <c r="E14" s="78">
        <f>CFLs!E49</f>
        <v>30.68</v>
      </c>
      <c r="F14" s="94">
        <f>CFLs!F49</f>
        <v>-0.3</v>
      </c>
      <c r="G14" s="94">
        <f>CFLs!G49</f>
        <v>0</v>
      </c>
      <c r="H14" s="79">
        <f>CFLs!C49</f>
        <v>21.91780821917808</v>
      </c>
      <c r="I14" s="79" t="s">
        <v>159</v>
      </c>
      <c r="J14" s="92">
        <f>CFLs!D49</f>
        <v>60.0454537952173</v>
      </c>
      <c r="K14" s="92">
        <f>CFLs!K49</f>
        <v>64.62391964710261</v>
      </c>
      <c r="L14" s="81">
        <f>CFLs!J49</f>
        <v>0.27799999713897705</v>
      </c>
      <c r="M14" s="86">
        <f>CFLs!L49</f>
        <v>0.005127125992295664</v>
      </c>
      <c r="N14" s="85">
        <f>CFLs!N49/CFLs!$K49</f>
        <v>0.4496407210237631</v>
      </c>
      <c r="O14" s="85">
        <f>CFLs!O49/CFLs!$K49</f>
        <v>-0.05992624716513545</v>
      </c>
      <c r="P14" s="85">
        <f>CFLs!P49/CFLs!$K49</f>
        <v>0</v>
      </c>
      <c r="Q14" s="85">
        <f>CFLs!N49/CFLs!$K49</f>
        <v>0.4496407210237631</v>
      </c>
      <c r="R14" s="80">
        <f>CFLs!S49/CFLs!$K49</f>
        <v>0.38823850099513935</v>
      </c>
      <c r="S14" s="80">
        <f>CFLs!T49/CFLs!$K49</f>
        <v>0.003030073639074558</v>
      </c>
      <c r="T14" s="80">
        <f>CFLs!U49/CFLs!$K49</f>
        <v>0.04604998010301976</v>
      </c>
      <c r="U14" s="80">
        <f>CFLs!V49/CFLs!$K49</f>
        <v>0.4371811527812138</v>
      </c>
      <c r="V14" s="80">
        <f>U14-Q14</f>
        <v>-0.012459568242549346</v>
      </c>
      <c r="W14" s="86">
        <f>U14/Q14</f>
        <v>0.9722899469287817</v>
      </c>
      <c r="X14" s="81">
        <f>CFLs!I49</f>
        <v>0.4</v>
      </c>
      <c r="Y14" s="86">
        <f>CFLs!M49</f>
        <v>0.018442898988723755</v>
      </c>
      <c r="Z14" s="81">
        <f>CFLs!Y49/CFLs!K49</f>
        <v>0.07266364203783456</v>
      </c>
      <c r="AA14" s="80" t="s">
        <v>160</v>
      </c>
      <c r="AB14" s="87" t="s">
        <v>161</v>
      </c>
      <c r="AC14" s="80">
        <f>(-1*CFLs!O49)/CFLs!$K49</f>
        <v>0.05992624716513545</v>
      </c>
      <c r="AD14" s="80">
        <f>CFLs!AA49/CFLs!$K49</f>
        <v>0</v>
      </c>
      <c r="AE14" s="80">
        <f>CFLs!N49/CFLs!K49</f>
        <v>0.4496407210237631</v>
      </c>
      <c r="AF14" s="80">
        <f>U14+MeasureTable!Z14+MeasureTable!AC14+MeasureTable!AD14/CFLs!$K49</f>
        <v>0.5697710419841837</v>
      </c>
      <c r="AG14" s="80">
        <f>AF14-AE14</f>
        <v>0.12013032096042059</v>
      </c>
      <c r="AH14" s="81">
        <f>AF14/AE14</f>
        <v>1.2671695763829</v>
      </c>
      <c r="AI14" s="93" t="s">
        <v>341</v>
      </c>
      <c r="AJ14" s="93"/>
      <c r="AK14" s="346">
        <f>VLOOKUP(A14,CFLs!B$39:R$49,17,0)</f>
        <v>30.6122539973021</v>
      </c>
    </row>
  </sheetData>
  <mergeCells count="4">
    <mergeCell ref="X2:Z2"/>
    <mergeCell ref="AE2:AH2"/>
    <mergeCell ref="AA2:AD2"/>
    <mergeCell ref="A2:W2"/>
  </mergeCells>
  <printOptions/>
  <pageMargins left="0.75" right="0.75" top="1" bottom="1" header="0.5" footer="0.5"/>
  <pageSetup horizontalDpi="600" verticalDpi="600" orientation="landscape" scale="60" r:id="rId3"/>
  <legacyDrawing r:id="rId2"/>
</worksheet>
</file>

<file path=xl/worksheets/sheet2.xml><?xml version="1.0" encoding="utf-8"?>
<worksheet xmlns="http://schemas.openxmlformats.org/spreadsheetml/2006/main" xmlns:r="http://schemas.openxmlformats.org/officeDocument/2006/relationships">
  <sheetPr codeName="Sheet1"/>
  <dimension ref="A1:K28"/>
  <sheetViews>
    <sheetView workbookViewId="0" topLeftCell="A1">
      <selection activeCell="A1" sqref="A1"/>
    </sheetView>
  </sheetViews>
  <sheetFormatPr defaultColWidth="9.140625" defaultRowHeight="12.75"/>
  <cols>
    <col min="1" max="1" width="27.57421875" style="3" customWidth="1"/>
    <col min="2" max="2" width="9.28125" style="3" customWidth="1"/>
    <col min="3" max="3" width="7.140625" style="3" customWidth="1"/>
    <col min="4" max="4" width="36.28125" style="3" customWidth="1"/>
    <col min="5" max="5" width="6.57421875" style="3" customWidth="1"/>
    <col min="6" max="8" width="8.421875" style="3" customWidth="1"/>
    <col min="9" max="11" width="8.57421875" style="3" customWidth="1"/>
    <col min="12" max="16384" width="9.140625" style="3" customWidth="1"/>
  </cols>
  <sheetData>
    <row r="1" spans="1:11" ht="15">
      <c r="A1" s="1" t="s">
        <v>1</v>
      </c>
      <c r="B1" s="2"/>
      <c r="C1"/>
      <c r="D1" s="25" t="s">
        <v>2</v>
      </c>
      <c r="E1" s="25"/>
      <c r="F1" s="26"/>
      <c r="G1" s="27"/>
      <c r="H1" s="26"/>
      <c r="I1" s="26"/>
      <c r="J1"/>
      <c r="K1"/>
    </row>
    <row r="2" spans="1:11" ht="15" customHeight="1">
      <c r="A2" s="17" t="s">
        <v>3</v>
      </c>
      <c r="B2" s="23">
        <v>20</v>
      </c>
      <c r="C2" s="4"/>
      <c r="D2" s="17"/>
      <c r="E2" s="17"/>
      <c r="F2" s="28" t="s">
        <v>20</v>
      </c>
      <c r="G2" s="28" t="s">
        <v>21</v>
      </c>
      <c r="H2" s="28" t="s">
        <v>22</v>
      </c>
      <c r="I2" s="28" t="s">
        <v>4</v>
      </c>
      <c r="J2"/>
      <c r="K2"/>
    </row>
    <row r="3" spans="1:11" ht="15" customHeight="1">
      <c r="A3" s="17" t="s">
        <v>5</v>
      </c>
      <c r="B3" s="18">
        <v>2001</v>
      </c>
      <c r="C3" s="4"/>
      <c r="D3" s="17" t="s">
        <v>6</v>
      </c>
      <c r="E3" s="17"/>
      <c r="F3" s="19">
        <v>0.07</v>
      </c>
      <c r="G3" s="19">
        <v>0.05</v>
      </c>
      <c r="H3" s="19">
        <v>0.0475</v>
      </c>
      <c r="I3" s="19">
        <v>0.05</v>
      </c>
      <c r="J3"/>
      <c r="K3"/>
    </row>
    <row r="4" spans="1:11" ht="15" customHeight="1">
      <c r="A4" s="17" t="s">
        <v>7</v>
      </c>
      <c r="B4" s="18">
        <v>2000</v>
      </c>
      <c r="C4" s="4"/>
      <c r="D4" s="17" t="s">
        <v>8</v>
      </c>
      <c r="E4" s="17"/>
      <c r="F4" s="18">
        <v>10</v>
      </c>
      <c r="G4" s="18">
        <v>10</v>
      </c>
      <c r="H4" s="18">
        <v>15</v>
      </c>
      <c r="I4" s="18">
        <v>1</v>
      </c>
      <c r="J4"/>
      <c r="K4"/>
    </row>
    <row r="5" spans="1:11" ht="15" customHeight="1">
      <c r="A5" s="17" t="s">
        <v>9</v>
      </c>
      <c r="B5" s="18">
        <v>2000</v>
      </c>
      <c r="C5" s="4"/>
      <c r="D5" s="17" t="s">
        <v>23</v>
      </c>
      <c r="E5" s="17"/>
      <c r="F5" s="20">
        <v>0</v>
      </c>
      <c r="G5" s="20">
        <v>0</v>
      </c>
      <c r="H5" s="20">
        <v>1</v>
      </c>
      <c r="I5" s="29"/>
      <c r="J5"/>
      <c r="K5"/>
    </row>
    <row r="6" spans="1:11" ht="15" customHeight="1">
      <c r="A6" s="17" t="s">
        <v>10</v>
      </c>
      <c r="B6" s="19">
        <v>0.0475</v>
      </c>
      <c r="C6" s="4"/>
      <c r="D6" s="5"/>
      <c r="E6" s="5"/>
      <c r="F6" s="5"/>
      <c r="G6" s="5"/>
      <c r="H6" s="5"/>
      <c r="I6" s="5"/>
      <c r="J6"/>
      <c r="K6"/>
    </row>
    <row r="7" spans="1:11" ht="15" customHeight="1">
      <c r="A7" s="17" t="s">
        <v>11</v>
      </c>
      <c r="B7" s="20">
        <v>0</v>
      </c>
      <c r="C7" s="4"/>
      <c r="D7" s="6" t="s">
        <v>12</v>
      </c>
      <c r="E7" s="6"/>
      <c r="F7" s="16" t="b">
        <v>1</v>
      </c>
      <c r="G7" s="5"/>
      <c r="H7" s="5"/>
      <c r="I7"/>
      <c r="K7"/>
    </row>
    <row r="8" spans="1:11" ht="15" customHeight="1">
      <c r="A8" s="17" t="s">
        <v>13</v>
      </c>
      <c r="B8" s="20">
        <v>0</v>
      </c>
      <c r="C8" s="4"/>
      <c r="D8" s="30" t="s">
        <v>156</v>
      </c>
      <c r="E8" s="31" t="b">
        <v>0</v>
      </c>
      <c r="F8" s="16"/>
      <c r="G8" s="5"/>
      <c r="H8" s="5"/>
      <c r="I8"/>
      <c r="J8"/>
      <c r="K8"/>
    </row>
    <row r="9" spans="1:11" ht="15" customHeight="1">
      <c r="A9" s="17" t="s">
        <v>24</v>
      </c>
      <c r="B9" s="21">
        <v>1</v>
      </c>
      <c r="C9" s="4"/>
      <c r="D9" s="88" t="s">
        <v>162</v>
      </c>
      <c r="E9" s="31" t="b">
        <v>1</v>
      </c>
      <c r="F9"/>
      <c r="G9" s="5"/>
      <c r="H9" s="5"/>
      <c r="I9"/>
      <c r="J9"/>
      <c r="K9"/>
    </row>
    <row r="10" spans="1:10" ht="15" customHeight="1">
      <c r="A10" s="17" t="s">
        <v>25</v>
      </c>
      <c r="B10" s="21">
        <v>0</v>
      </c>
      <c r="C10" s="4"/>
      <c r="D10" s="30" t="s">
        <v>336</v>
      </c>
      <c r="E10" s="32" t="b">
        <v>0</v>
      </c>
      <c r="F10" s="8"/>
      <c r="G10" s="9"/>
      <c r="H10" s="5"/>
      <c r="I10"/>
      <c r="J10"/>
    </row>
    <row r="11" spans="1:11" s="10" customFormat="1" ht="15" customHeight="1">
      <c r="A11" s="83" t="s">
        <v>26</v>
      </c>
      <c r="B11" s="21">
        <v>0</v>
      </c>
      <c r="C11" s="4"/>
      <c r="D11" s="30" t="s">
        <v>445</v>
      </c>
      <c r="E11" s="32" t="b">
        <v>0</v>
      </c>
      <c r="F11" s="5"/>
      <c r="G11" s="5"/>
      <c r="H11" s="5"/>
      <c r="I11"/>
      <c r="J11"/>
      <c r="K11" s="3"/>
    </row>
    <row r="12" spans="1:10" ht="15" customHeight="1">
      <c r="A12" s="17" t="s">
        <v>27</v>
      </c>
      <c r="B12" s="23">
        <f>Prog_Life</f>
        <v>20</v>
      </c>
      <c r="C12" s="4"/>
      <c r="D12" s="30" t="s">
        <v>337</v>
      </c>
      <c r="E12" s="32" t="b">
        <v>0</v>
      </c>
      <c r="F12" s="4"/>
      <c r="G12" s="5"/>
      <c r="H12" s="5"/>
      <c r="I12"/>
      <c r="J12" s="11"/>
    </row>
    <row r="13" spans="1:9" ht="15" customHeight="1">
      <c r="A13" s="34" t="s">
        <v>29</v>
      </c>
      <c r="B13" s="20">
        <v>0.025</v>
      </c>
      <c r="C13" s="4"/>
      <c r="D13" s="17" t="s">
        <v>338</v>
      </c>
      <c r="E13" s="33" t="b">
        <v>0</v>
      </c>
      <c r="F13" s="4"/>
      <c r="G13" s="5"/>
      <c r="H13" s="5"/>
      <c r="I13"/>
    </row>
    <row r="14" spans="1:9" ht="15" customHeight="1">
      <c r="A14" s="34" t="s">
        <v>28</v>
      </c>
      <c r="B14" s="22">
        <v>3</v>
      </c>
      <c r="C14" s="4"/>
      <c r="D14" s="17" t="s">
        <v>339</v>
      </c>
      <c r="E14" s="33" t="b">
        <v>0</v>
      </c>
      <c r="F14" s="5"/>
      <c r="G14" s="5"/>
      <c r="H14" s="5"/>
      <c r="I14"/>
    </row>
    <row r="15" spans="1:9" ht="14.25">
      <c r="A15" s="34" t="s">
        <v>30</v>
      </c>
      <c r="B15" s="20">
        <v>0.05</v>
      </c>
      <c r="C15" s="4"/>
      <c r="D15" s="17" t="s">
        <v>340</v>
      </c>
      <c r="E15" s="33" t="b">
        <v>0</v>
      </c>
      <c r="F15" s="5"/>
      <c r="G15" s="13"/>
      <c r="H15" s="5"/>
      <c r="I15"/>
    </row>
    <row r="16" spans="1:9" ht="14.25">
      <c r="A16" s="34" t="s">
        <v>31</v>
      </c>
      <c r="B16" s="22">
        <v>20</v>
      </c>
      <c r="C16" s="4"/>
      <c r="D16" s="17"/>
      <c r="E16" s="33" t="b">
        <v>0</v>
      </c>
      <c r="F16" s="4"/>
      <c r="G16" s="5"/>
      <c r="H16" s="5"/>
      <c r="I16" s="5"/>
    </row>
    <row r="17" spans="1:9" ht="14.25">
      <c r="A17" s="17" t="s">
        <v>14</v>
      </c>
      <c r="B17" s="23">
        <v>0</v>
      </c>
      <c r="C17" s="4"/>
      <c r="D17" s="17"/>
      <c r="E17" s="33" t="b">
        <v>0</v>
      </c>
      <c r="F17" s="4"/>
      <c r="G17" s="5"/>
      <c r="H17"/>
      <c r="I17" s="5"/>
    </row>
    <row r="18" spans="1:9" ht="14.25">
      <c r="A18" s="17" t="s">
        <v>15</v>
      </c>
      <c r="B18" s="24">
        <v>0.1</v>
      </c>
      <c r="C18" s="4"/>
      <c r="D18" s="5"/>
      <c r="E18" s="5"/>
      <c r="F18" s="4"/>
      <c r="G18" s="5"/>
      <c r="H18" s="5"/>
      <c r="I18" s="5"/>
    </row>
    <row r="19" spans="1:9" ht="15" customHeight="1">
      <c r="A19" s="17" t="s">
        <v>16</v>
      </c>
      <c r="B19" s="24">
        <v>0.2</v>
      </c>
      <c r="C19"/>
      <c r="D19"/>
      <c r="E19"/>
      <c r="F19" s="5"/>
      <c r="G19" s="5"/>
      <c r="H19" s="5"/>
      <c r="I19" s="5"/>
    </row>
    <row r="20" spans="1:9" ht="15" customHeight="1">
      <c r="A20" s="17" t="s">
        <v>17</v>
      </c>
      <c r="B20" s="35">
        <v>0.25</v>
      </c>
      <c r="C20"/>
      <c r="D20"/>
      <c r="E20"/>
      <c r="F20" s="5"/>
      <c r="G20" s="5"/>
      <c r="H20" s="5"/>
      <c r="I20" s="5"/>
    </row>
    <row r="21" spans="1:9" ht="37.5" customHeight="1">
      <c r="A21" s="17" t="s">
        <v>18</v>
      </c>
      <c r="B21" s="336" t="s">
        <v>444</v>
      </c>
      <c r="C21" s="337"/>
      <c r="D21" s="338"/>
      <c r="E21" s="12"/>
      <c r="F21" s="5"/>
      <c r="G21" s="5"/>
      <c r="H21" s="14"/>
      <c r="I21" s="5"/>
    </row>
    <row r="22" spans="1:9" ht="14.25">
      <c r="A22" s="34" t="s">
        <v>0</v>
      </c>
      <c r="B22" s="7" t="s">
        <v>371</v>
      </c>
      <c r="C22" s="4"/>
      <c r="D22" s="4"/>
      <c r="E22" s="4"/>
      <c r="F22" s="5"/>
      <c r="G22" s="5"/>
      <c r="H22" s="5"/>
      <c r="I22" s="5"/>
    </row>
    <row r="23" spans="1:9" ht="14.25">
      <c r="A23" s="17" t="s">
        <v>19</v>
      </c>
      <c r="B23" s="7" t="s">
        <v>157</v>
      </c>
      <c r="C23" s="5"/>
      <c r="D23" s="5"/>
      <c r="E23" s="5"/>
      <c r="F23" s="5"/>
      <c r="G23" s="5"/>
      <c r="H23" s="5"/>
      <c r="I23" s="5"/>
    </row>
    <row r="24" spans="1:2" ht="14.25">
      <c r="A24"/>
      <c r="B24"/>
    </row>
    <row r="25" spans="1:2" ht="14.25">
      <c r="A25"/>
      <c r="B25"/>
    </row>
    <row r="26" spans="1:2" ht="14.25">
      <c r="A26"/>
      <c r="B26"/>
    </row>
    <row r="27" ht="14.25">
      <c r="A27" s="15"/>
    </row>
    <row r="28" ht="14.25">
      <c r="A28" s="5"/>
    </row>
    <row r="32" ht="14.25"/>
    <row r="34" ht="14.25"/>
    <row r="35" ht="14.25"/>
    <row r="36" ht="14.25"/>
    <row r="37" ht="14.25"/>
    <row r="38" ht="14.25"/>
    <row r="39" ht="14.25"/>
    <row r="40" ht="14.25"/>
    <row r="41" ht="14.25"/>
    <row r="42" ht="14.25"/>
  </sheetData>
  <mergeCells count="1">
    <mergeCell ref="B21:D21"/>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AO525"/>
  <sheetViews>
    <sheetView zoomScale="75" zoomScaleNormal="75" workbookViewId="0" topLeftCell="E19">
      <selection activeCell="K64" sqref="K64"/>
    </sheetView>
  </sheetViews>
  <sheetFormatPr defaultColWidth="9.140625" defaultRowHeight="12.75"/>
  <cols>
    <col min="1" max="2" width="61.28125" style="98" customWidth="1"/>
    <col min="3" max="3" width="9.00390625" style="98" customWidth="1"/>
    <col min="4" max="4" width="8.8515625" style="98" customWidth="1"/>
    <col min="5" max="5" width="8.00390625" style="98" customWidth="1"/>
    <col min="6" max="6" width="8.8515625" style="98" customWidth="1"/>
    <col min="7" max="7" width="12.421875" style="98" customWidth="1"/>
    <col min="8" max="8" width="11.421875" style="98" customWidth="1"/>
    <col min="9" max="9" width="8.421875" style="99" customWidth="1"/>
    <col min="10" max="10" width="10.421875" style="99" customWidth="1"/>
    <col min="11" max="11" width="9.8515625" style="99" customWidth="1"/>
    <col min="12" max="13" width="8.421875" style="99" customWidth="1"/>
    <col min="14" max="17" width="8.421875" style="100" customWidth="1"/>
    <col min="18" max="18" width="9.140625" style="100" customWidth="1"/>
    <col min="19" max="21" width="8.421875" style="98" customWidth="1"/>
    <col min="22" max="22" width="8.421875" style="100" customWidth="1"/>
    <col min="23" max="25" width="10.57421875" style="98" customWidth="1"/>
    <col min="26" max="26" width="9.57421875" style="98" customWidth="1"/>
    <col min="27" max="29" width="10.57421875" style="98" customWidth="1"/>
    <col min="30" max="30" width="10.8515625" style="98" customWidth="1"/>
    <col min="31" max="16384" width="10.57421875" style="98" customWidth="1"/>
  </cols>
  <sheetData>
    <row r="1" spans="1:7" ht="15">
      <c r="A1" s="96" t="s">
        <v>127</v>
      </c>
      <c r="B1" s="97"/>
      <c r="C1" s="97"/>
      <c r="D1" s="97"/>
      <c r="E1" s="97"/>
      <c r="F1" s="97"/>
      <c r="G1" s="97"/>
    </row>
    <row r="2" spans="1:7" ht="15">
      <c r="A2" s="101" t="s">
        <v>162</v>
      </c>
      <c r="B2" s="97"/>
      <c r="C2" s="97"/>
      <c r="D2" s="97"/>
      <c r="E2" s="97"/>
      <c r="F2" s="97"/>
      <c r="G2" s="97"/>
    </row>
    <row r="3" ht="15">
      <c r="A3" s="97"/>
    </row>
    <row r="4" spans="1:7" ht="15">
      <c r="A4" s="97"/>
      <c r="B4" s="97"/>
      <c r="C4" s="97"/>
      <c r="D4" s="97"/>
      <c r="E4" s="97"/>
      <c r="F4" s="97"/>
      <c r="G4" s="97"/>
    </row>
    <row r="5" spans="1:7" ht="15">
      <c r="A5" s="97"/>
      <c r="B5" s="97"/>
      <c r="C5" s="97"/>
      <c r="D5" s="97"/>
      <c r="E5" s="97"/>
      <c r="F5" s="97"/>
      <c r="G5" s="97"/>
    </row>
    <row r="6" spans="1:22" ht="15">
      <c r="A6" s="36" t="s">
        <v>32</v>
      </c>
      <c r="B6" s="37"/>
      <c r="C6" s="38"/>
      <c r="D6" s="38"/>
      <c r="E6" s="38"/>
      <c r="F6" s="38"/>
      <c r="G6" s="38"/>
      <c r="H6" s="39"/>
      <c r="I6" s="40" t="s">
        <v>33</v>
      </c>
      <c r="J6" s="41"/>
      <c r="K6" s="41"/>
      <c r="L6" s="41"/>
      <c r="M6" s="41"/>
      <c r="N6" s="41"/>
      <c r="O6" s="98"/>
      <c r="P6" s="98"/>
      <c r="Q6" s="98"/>
      <c r="R6" s="98"/>
      <c r="V6" s="98"/>
    </row>
    <row r="7" spans="1:22" ht="25.5">
      <c r="A7" s="42" t="s">
        <v>34</v>
      </c>
      <c r="B7" s="42" t="s">
        <v>35</v>
      </c>
      <c r="C7" s="42" t="s">
        <v>163</v>
      </c>
      <c r="D7" s="42" t="s">
        <v>164</v>
      </c>
      <c r="E7" s="42" t="s">
        <v>36</v>
      </c>
      <c r="F7" s="42" t="s">
        <v>37</v>
      </c>
      <c r="G7" s="102" t="s">
        <v>38</v>
      </c>
      <c r="H7" s="43" t="s">
        <v>165</v>
      </c>
      <c r="I7" s="43" t="s">
        <v>39</v>
      </c>
      <c r="J7" s="43" t="s">
        <v>40</v>
      </c>
      <c r="K7" s="43" t="s">
        <v>41</v>
      </c>
      <c r="L7" s="43" t="s">
        <v>42</v>
      </c>
      <c r="M7" s="43" t="s">
        <v>43</v>
      </c>
      <c r="N7" s="43" t="s">
        <v>44</v>
      </c>
      <c r="O7" s="98"/>
      <c r="P7" s="98"/>
      <c r="Q7" s="98"/>
      <c r="R7" s="98"/>
      <c r="V7" s="98"/>
    </row>
    <row r="8" spans="1:26" ht="15">
      <c r="A8" s="103" t="str">
        <f>"Energy Star CFL in "&amp;B8</f>
        <v>Energy Star CFL in Living Rooms - 100  Watt</v>
      </c>
      <c r="B8" s="265" t="str">
        <f>'Bulb Assumptions'!B6&amp;" - "&amp;'Bulb Assumptions'!B9&amp;"  Watt"</f>
        <v>Living Rooms - 100  Watt</v>
      </c>
      <c r="C8" s="104">
        <f>'Bulb Assumptions'!B24</f>
        <v>223.26510370918308</v>
      </c>
      <c r="D8" s="105">
        <f>'Bulb Assumptions'!B13</f>
        <v>7.30593607305936</v>
      </c>
      <c r="E8" s="106">
        <f>'Bulb Assumptions'!B17</f>
        <v>25.625</v>
      </c>
      <c r="F8" s="107">
        <f>-'Bulb Assumptions'!B28</f>
        <v>-0.9125</v>
      </c>
      <c r="G8" s="4" t="s">
        <v>166</v>
      </c>
      <c r="H8" s="108">
        <v>0</v>
      </c>
      <c r="I8" s="106"/>
      <c r="J8"/>
      <c r="K8"/>
      <c r="L8"/>
      <c r="M8"/>
      <c r="N8"/>
      <c r="S8" s="100"/>
      <c r="T8" s="100"/>
      <c r="U8" s="100"/>
      <c r="W8" s="100"/>
      <c r="X8" s="100"/>
      <c r="Y8" s="100"/>
      <c r="Z8" s="100"/>
    </row>
    <row r="9" spans="1:26" ht="15">
      <c r="A9" s="103" t="str">
        <f aca="true" t="shared" si="0" ref="A9:A17">"Energy Star CFL in "&amp;B9</f>
        <v>Energy Star CFL in Kitchens - 116  Watt</v>
      </c>
      <c r="B9" s="265" t="str">
        <f>'Bulb Assumptions'!C6&amp;" - "&amp;'Bulb Assumptions'!C9&amp;"  Watt"</f>
        <v>Kitchens - 116  Watt</v>
      </c>
      <c r="C9" s="104">
        <f>'Bulb Assumptions'!C24</f>
        <v>345.3166937368698</v>
      </c>
      <c r="D9" s="105">
        <f>'Bulb Assumptions'!C13</f>
        <v>5.47945205479452</v>
      </c>
      <c r="E9" s="106">
        <f>'Bulb Assumptions'!C17</f>
        <v>31.674999999999997</v>
      </c>
      <c r="F9" s="107">
        <f>-'Bulb Assumptions'!C28</f>
        <v>-1.2166666666666666</v>
      </c>
      <c r="G9" s="4" t="s">
        <v>166</v>
      </c>
      <c r="H9" s="108">
        <v>0</v>
      </c>
      <c r="I9" s="106"/>
      <c r="J9"/>
      <c r="K9"/>
      <c r="L9"/>
      <c r="M9"/>
      <c r="N9"/>
      <c r="S9" s="100"/>
      <c r="T9" s="100"/>
      <c r="U9" s="100"/>
      <c r="W9" s="100"/>
      <c r="X9" s="100"/>
      <c r="Y9" s="100"/>
      <c r="Z9" s="100"/>
    </row>
    <row r="10" spans="1:22" ht="15">
      <c r="A10" s="103" t="str">
        <f t="shared" si="0"/>
        <v>Energy Star CFL in Bathrooms - 112  Watt</v>
      </c>
      <c r="B10" s="265" t="str">
        <f>'Bulb Assumptions'!D6&amp;" - "&amp;'Bulb Assumptions'!D9&amp;"  Watt"</f>
        <v>Bathrooms - 112  Watt</v>
      </c>
      <c r="C10" s="104">
        <f>'Bulb Assumptions'!D24</f>
        <v>166.70461076952338</v>
      </c>
      <c r="D10" s="105">
        <f>'Bulb Assumptions'!D13</f>
        <v>10.95890410958904</v>
      </c>
      <c r="E10" s="106">
        <f>'Bulb Assumptions'!D17</f>
        <v>33.275</v>
      </c>
      <c r="F10" s="107">
        <f>-'Bulb Assumptions'!D28</f>
        <v>-0.6083333333333333</v>
      </c>
      <c r="G10" s="4" t="s">
        <v>166</v>
      </c>
      <c r="H10" s="108">
        <v>0</v>
      </c>
      <c r="I10" s="106"/>
      <c r="J10" s="45"/>
      <c r="K10"/>
      <c r="L10"/>
      <c r="M10"/>
      <c r="N10"/>
      <c r="O10" s="98"/>
      <c r="P10" s="98"/>
      <c r="Q10" s="98"/>
      <c r="R10" s="98"/>
      <c r="V10" s="98"/>
    </row>
    <row r="11" spans="1:22" ht="15">
      <c r="A11" s="103" t="str">
        <f t="shared" si="0"/>
        <v>Energy Star CFL in Bedrooms - 88.4  Watt</v>
      </c>
      <c r="B11" s="265" t="str">
        <f>'Bulb Assumptions'!E6&amp;" - "&amp;'Bulb Assumptions'!E9&amp;"  Watt"</f>
        <v>Bedrooms - 88.4  Watt</v>
      </c>
      <c r="C11" s="104">
        <f>'Bulb Assumptions'!E24</f>
        <v>60.51160871439193</v>
      </c>
      <c r="D11" s="105">
        <f>'Bulb Assumptions'!E13</f>
        <v>21.91780821917808</v>
      </c>
      <c r="E11" s="106">
        <f>'Bulb Assumptions'!E17</f>
        <v>30.675000000000004</v>
      </c>
      <c r="F11" s="107">
        <f>-'Bulb Assumptions'!E28</f>
        <v>-0.30416666666666664</v>
      </c>
      <c r="G11" s="4" t="s">
        <v>166</v>
      </c>
      <c r="H11" s="108">
        <v>0</v>
      </c>
      <c r="I11" s="106"/>
      <c r="J11" s="45"/>
      <c r="K11"/>
      <c r="L11"/>
      <c r="M11"/>
      <c r="N11"/>
      <c r="O11" s="98"/>
      <c r="P11" s="98"/>
      <c r="Q11" s="98"/>
      <c r="R11" s="98"/>
      <c r="V11" s="98"/>
    </row>
    <row r="12" spans="1:22" ht="15">
      <c r="A12" s="103" t="str">
        <f t="shared" si="0"/>
        <v>Energy Star CFL in Master Bedrooms - 80  Watt</v>
      </c>
      <c r="B12" s="265" t="str">
        <f>'Bulb Assumptions'!F6&amp;" - "&amp;'Bulb Assumptions'!F9&amp;"  Watt"</f>
        <v>Master Bedrooms - 80  Watt</v>
      </c>
      <c r="C12" s="104">
        <f>'Bulb Assumptions'!F24</f>
        <v>59.537360989115484</v>
      </c>
      <c r="D12" s="105">
        <f>'Bulb Assumptions'!F13</f>
        <v>21.91780821917808</v>
      </c>
      <c r="E12" s="106">
        <f>'Bulb Assumptions'!F17</f>
        <v>22.875</v>
      </c>
      <c r="F12" s="107">
        <f>-'Bulb Assumptions'!F28</f>
        <v>-0.30416666666666664</v>
      </c>
      <c r="G12" s="4" t="s">
        <v>166</v>
      </c>
      <c r="H12" s="108">
        <v>0</v>
      </c>
      <c r="I12" s="106"/>
      <c r="J12" s="45"/>
      <c r="K12"/>
      <c r="L12"/>
      <c r="M12"/>
      <c r="N12"/>
      <c r="O12" s="98"/>
      <c r="P12" s="98"/>
      <c r="Q12" s="98"/>
      <c r="R12" s="98"/>
      <c r="V12" s="98"/>
    </row>
    <row r="13" spans="1:22" ht="15">
      <c r="A13" s="103" t="str">
        <f t="shared" si="0"/>
        <v>Energy Star CFL in Porches - 32  Watt</v>
      </c>
      <c r="B13" s="265" t="str">
        <f>'Bulb Assumptions'!G6&amp;" - "&amp;'Bulb Assumptions'!G9&amp;"  Watt"</f>
        <v>Porches - 32  Watt</v>
      </c>
      <c r="C13" s="104">
        <f>'Bulb Assumptions'!G24</f>
        <v>90.44992</v>
      </c>
      <c r="D13" s="105">
        <f>'Bulb Assumptions'!G13</f>
        <v>5.47945205479452</v>
      </c>
      <c r="E13" s="106">
        <f>'Bulb Assumptions'!G17</f>
        <v>6.955</v>
      </c>
      <c r="F13" s="107">
        <f>-'Bulb Assumptions'!G28</f>
        <v>-1.2166666666666666</v>
      </c>
      <c r="G13" s="4" t="s">
        <v>166</v>
      </c>
      <c r="H13" s="108">
        <v>0</v>
      </c>
      <c r="I13" s="106"/>
      <c r="J13" s="45"/>
      <c r="K13"/>
      <c r="L13"/>
      <c r="M13"/>
      <c r="N13"/>
      <c r="O13" s="98"/>
      <c r="P13" s="98"/>
      <c r="Q13" s="98"/>
      <c r="R13" s="98"/>
      <c r="V13" s="98"/>
    </row>
    <row r="14" spans="1:22" ht="15">
      <c r="A14" s="103" t="str">
        <f t="shared" si="0"/>
        <v>Energy Star CFL in Yard/ Driveway - 40.8  Watt</v>
      </c>
      <c r="B14" s="265" t="str">
        <f>'Bulb Assumptions'!H6&amp;" - "&amp;'Bulb Assumptions'!H9&amp;"  Watt"</f>
        <v>Yard/ Driveway - 40.8  Watt</v>
      </c>
      <c r="C14" s="104">
        <f>'Bulb Assumptions'!H24</f>
        <v>53.036544000000006</v>
      </c>
      <c r="D14" s="105">
        <f>'Bulb Assumptions'!H13</f>
        <v>10.95890410958904</v>
      </c>
      <c r="E14" s="106">
        <f>'Bulb Assumptions'!H17</f>
        <v>11.995</v>
      </c>
      <c r="F14" s="107">
        <f>-'Bulb Assumptions'!H28</f>
        <v>-0.6083333333333333</v>
      </c>
      <c r="G14" s="4" t="s">
        <v>166</v>
      </c>
      <c r="H14" s="108">
        <v>0</v>
      </c>
      <c r="I14" s="106"/>
      <c r="J14" s="45"/>
      <c r="K14"/>
      <c r="L14"/>
      <c r="M14"/>
      <c r="N14"/>
      <c r="O14" s="98"/>
      <c r="P14" s="98"/>
      <c r="Q14" s="98"/>
      <c r="R14" s="98"/>
      <c r="V14" s="98"/>
    </row>
    <row r="15" spans="1:22" ht="15">
      <c r="A15" s="103" t="str">
        <f t="shared" si="0"/>
        <v>Energy Star CFL in Average - Interior Wattage - 101  Watt</v>
      </c>
      <c r="B15" s="266" t="str">
        <f>'Bulb Assumptions'!I6&amp;" - "&amp;'Bulb Assumptions'!I9&amp;"  Watt"</f>
        <v>Average - Interior Wattage - 101  Watt</v>
      </c>
      <c r="C15" s="104">
        <f>'Bulb Assumptions'!I24</f>
        <v>179.9030457734528</v>
      </c>
      <c r="D15" s="105">
        <f>'Bulb Assumptions'!I13</f>
        <v>12.942351598173518</v>
      </c>
      <c r="E15" s="106">
        <f>'Bulb Assumptions'!I17</f>
        <v>29.265234375000002</v>
      </c>
      <c r="F15" s="107">
        <f>-'Bulb Assumptions'!I28</f>
        <v>-0.6962565104166666</v>
      </c>
      <c r="G15" s="4" t="s">
        <v>166</v>
      </c>
      <c r="H15" s="108">
        <v>0</v>
      </c>
      <c r="I15" s="106"/>
      <c r="J15" s="45"/>
      <c r="K15"/>
      <c r="L15"/>
      <c r="M15"/>
      <c r="N15"/>
      <c r="O15" s="98"/>
      <c r="P15" s="98"/>
      <c r="Q15" s="98"/>
      <c r="R15" s="98"/>
      <c r="V15" s="98"/>
    </row>
    <row r="16" spans="1:41" ht="15" customHeight="1">
      <c r="A16" s="103" t="str">
        <f t="shared" si="0"/>
        <v>Energy Star CFL in Average - Exterior Wattage - 37  Watt</v>
      </c>
      <c r="B16" s="265" t="str">
        <f>'Bulb Assumptions'!J6&amp;" - "&amp;'Bulb Assumptions'!J9&amp;"  Watt"</f>
        <v>Average - Exterior Wattage - 37  Watt</v>
      </c>
      <c r="C16" s="104">
        <f>'Bulb Assumptions'!J24</f>
        <v>68.0018944</v>
      </c>
      <c r="D16" s="105">
        <f>'Bulb Assumptions'!J13</f>
        <v>8.767123287671232</v>
      </c>
      <c r="E16" s="106">
        <f>'Bulb Assumptions'!J17</f>
        <v>9.979</v>
      </c>
      <c r="F16" s="107">
        <f>-'Bulb Assumptions'!J28</f>
        <v>-0.8516666666666666</v>
      </c>
      <c r="G16" s="4" t="s">
        <v>166</v>
      </c>
      <c r="H16" s="108">
        <v>0</v>
      </c>
      <c r="I16"/>
      <c r="J16"/>
      <c r="K16"/>
      <c r="L16"/>
      <c r="M16"/>
      <c r="N16"/>
      <c r="O16"/>
      <c r="P16"/>
      <c r="Q16"/>
      <c r="R16"/>
      <c r="S16"/>
      <c r="T16"/>
      <c r="U16"/>
      <c r="V16"/>
      <c r="W16"/>
      <c r="X16"/>
      <c r="Y16"/>
      <c r="Z16"/>
      <c r="AA16"/>
      <c r="AB16"/>
      <c r="AC16"/>
      <c r="AD16"/>
      <c r="AE16"/>
      <c r="AF16"/>
      <c r="AG16"/>
      <c r="AH16"/>
      <c r="AI16"/>
      <c r="AJ16"/>
      <c r="AK16"/>
      <c r="AL16"/>
      <c r="AM16"/>
      <c r="AN16"/>
      <c r="AO16"/>
    </row>
    <row r="17" spans="1:41" ht="15" customHeight="1">
      <c r="A17" s="103" t="str">
        <f t="shared" si="0"/>
        <v>Energy Star CFL in Weighted Average - Interior &amp; Exterior Wattage - 92  Watt</v>
      </c>
      <c r="B17" s="265" t="str">
        <f>'Bulb Assumptions'!K6&amp;" - "&amp;'Bulb Assumptions'!K9&amp;"  Watt"</f>
        <v>Weighted Average - Interior &amp; Exterior Wattage - 92  Watt</v>
      </c>
      <c r="C17" s="267">
        <f>'Bulb Assumptions'!K24</f>
        <v>164.78126856082406</v>
      </c>
      <c r="D17" s="105">
        <f>'Bulb Assumptions'!K$13</f>
        <v>9.294657926757466</v>
      </c>
      <c r="E17" s="106">
        <f>'Bulb Assumptions'!K17</f>
        <v>26.65898648648649</v>
      </c>
      <c r="F17" s="95">
        <f>-'Bulb Assumptions'!K28</f>
        <v>-0.717257882882883</v>
      </c>
      <c r="G17" s="4" t="s">
        <v>166</v>
      </c>
      <c r="H17" s="108">
        <v>0</v>
      </c>
      <c r="I17"/>
      <c r="J17"/>
      <c r="K17"/>
      <c r="L17"/>
      <c r="M17"/>
      <c r="N17"/>
      <c r="O17"/>
      <c r="P17"/>
      <c r="Q17"/>
      <c r="R17"/>
      <c r="S17"/>
      <c r="T17"/>
      <c r="U17"/>
      <c r="V17"/>
      <c r="W17"/>
      <c r="X17"/>
      <c r="Y17"/>
      <c r="Z17"/>
      <c r="AA17"/>
      <c r="AB17"/>
      <c r="AC17"/>
      <c r="AD17"/>
      <c r="AE17"/>
      <c r="AF17"/>
      <c r="AG17"/>
      <c r="AH17"/>
      <c r="AI17"/>
      <c r="AJ17"/>
      <c r="AK17"/>
      <c r="AL17"/>
      <c r="AM17"/>
      <c r="AN17"/>
      <c r="AO17"/>
    </row>
    <row r="18" spans="1:41" ht="15" customHeight="1">
      <c r="A18" s="103" t="str">
        <f>"Energy Star CFL  "&amp;B18</f>
        <v>Energy Star CFL  Weighted Average - Whole House Savings</v>
      </c>
      <c r="B18" s="265" t="s">
        <v>483</v>
      </c>
      <c r="C18" s="267">
        <f>'Res Lighting Fixtures and Use'!U43</f>
        <v>976.3431220378927</v>
      </c>
      <c r="D18" s="105">
        <f>'Bulb Assumptions'!K$13</f>
        <v>9.294657926757466</v>
      </c>
      <c r="E18" s="300">
        <f>'Res Lighting Fixtures and Use'!U40</f>
        <v>163.07500000000002</v>
      </c>
      <c r="F18" s="95">
        <f>-'Res Lighting Fixtures and Use'!U41</f>
        <v>-3.345833333333333</v>
      </c>
      <c r="G18" s="4" t="s">
        <v>166</v>
      </c>
      <c r="H18" s="108">
        <v>0</v>
      </c>
      <c r="I18"/>
      <c r="J18"/>
      <c r="K18"/>
      <c r="L18"/>
      <c r="M18"/>
      <c r="N18"/>
      <c r="O18"/>
      <c r="P18"/>
      <c r="Q18"/>
      <c r="R18"/>
      <c r="S18"/>
      <c r="T18"/>
      <c r="U18"/>
      <c r="V18"/>
      <c r="W18"/>
      <c r="X18"/>
      <c r="Y18"/>
      <c r="Z18"/>
      <c r="AA18"/>
      <c r="AB18"/>
      <c r="AC18"/>
      <c r="AD18"/>
      <c r="AE18"/>
      <c r="AF18"/>
      <c r="AG18"/>
      <c r="AH18"/>
      <c r="AI18"/>
      <c r="AJ18"/>
      <c r="AK18"/>
      <c r="AL18"/>
      <c r="AM18"/>
      <c r="AN18"/>
      <c r="AO18"/>
    </row>
    <row r="19" spans="1:41" ht="1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row>
    <row r="20" spans="1:41" ht="15" customHeight="1" thickBo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row>
    <row r="21" spans="1:41" ht="15" customHeight="1" thickBot="1">
      <c r="A21" s="82" t="s">
        <v>485</v>
      </c>
      <c r="B21" s="46"/>
      <c r="C21" s="46"/>
      <c r="D21" s="47"/>
      <c r="E21"/>
      <c r="F21"/>
      <c r="G21"/>
      <c r="H21"/>
      <c r="I21"/>
      <c r="J21"/>
      <c r="K21"/>
      <c r="L21"/>
      <c r="M21"/>
      <c r="N21"/>
      <c r="O21"/>
      <c r="P21"/>
      <c r="Q21"/>
      <c r="R21"/>
      <c r="S21"/>
      <c r="T21"/>
      <c r="U21"/>
      <c r="V21"/>
      <c r="W21"/>
      <c r="X21"/>
      <c r="Y21"/>
      <c r="Z21"/>
      <c r="AA21"/>
      <c r="AB21"/>
      <c r="AC21"/>
      <c r="AD21"/>
      <c r="AE21"/>
      <c r="AF21"/>
      <c r="AG21"/>
      <c r="AH21"/>
      <c r="AI21"/>
      <c r="AJ21"/>
      <c r="AK21"/>
      <c r="AL21"/>
      <c r="AM21"/>
      <c r="AN21"/>
      <c r="AO21"/>
    </row>
    <row r="22" spans="1:41" ht="15" customHeight="1" thickBot="1">
      <c r="A22" s="48" t="s">
        <v>129</v>
      </c>
      <c r="B22" s="49"/>
      <c r="C22" s="50" t="s">
        <v>78</v>
      </c>
      <c r="D22" s="52"/>
      <c r="E22" s="52"/>
      <c r="F22" s="52"/>
      <c r="G22" s="52"/>
      <c r="H22" s="52"/>
      <c r="I22" s="52"/>
      <c r="J22" s="51"/>
      <c r="K22" s="50" t="s">
        <v>45</v>
      </c>
      <c r="L22" s="52"/>
      <c r="M22" s="51"/>
      <c r="N22" s="50" t="s">
        <v>46</v>
      </c>
      <c r="O22" s="52"/>
      <c r="P22" s="52"/>
      <c r="Q22" s="51"/>
      <c r="R22" s="50" t="s">
        <v>47</v>
      </c>
      <c r="S22" s="51"/>
      <c r="T22" s="50" t="s">
        <v>48</v>
      </c>
      <c r="U22" s="52"/>
      <c r="V22" s="52"/>
      <c r="W22" s="52"/>
      <c r="X22" s="51"/>
      <c r="Y22" s="50" t="s">
        <v>49</v>
      </c>
      <c r="Z22" s="52"/>
      <c r="AA22" s="52"/>
      <c r="AB22" s="52"/>
      <c r="AC22" s="51"/>
      <c r="AD22" s="50" t="s">
        <v>79</v>
      </c>
      <c r="AE22" s="52"/>
      <c r="AF22" s="52"/>
      <c r="AG22" s="52"/>
      <c r="AH22" s="52"/>
      <c r="AI22" s="51"/>
      <c r="AJ22" s="50" t="s">
        <v>80</v>
      </c>
      <c r="AK22" s="52"/>
      <c r="AL22" s="52"/>
      <c r="AM22" s="52"/>
      <c r="AN22" s="52"/>
      <c r="AO22" s="51"/>
    </row>
    <row r="23" spans="1:41" ht="51">
      <c r="A23" s="53" t="s">
        <v>51</v>
      </c>
      <c r="B23" s="54" t="s">
        <v>52</v>
      </c>
      <c r="C23" s="55" t="s">
        <v>81</v>
      </c>
      <c r="D23" s="55" t="s">
        <v>82</v>
      </c>
      <c r="E23" s="55" t="s">
        <v>83</v>
      </c>
      <c r="F23" s="55" t="s">
        <v>84</v>
      </c>
      <c r="G23" s="55" t="s">
        <v>148</v>
      </c>
      <c r="H23" s="55" t="s">
        <v>86</v>
      </c>
      <c r="I23" s="55" t="s">
        <v>87</v>
      </c>
      <c r="J23" s="55" t="s">
        <v>88</v>
      </c>
      <c r="K23" s="55" t="s">
        <v>89</v>
      </c>
      <c r="L23" s="55" t="s">
        <v>90</v>
      </c>
      <c r="M23" s="55" t="s">
        <v>91</v>
      </c>
      <c r="N23" s="55" t="s">
        <v>20</v>
      </c>
      <c r="O23" s="55" t="s">
        <v>21</v>
      </c>
      <c r="P23" s="55" t="s">
        <v>22</v>
      </c>
      <c r="Q23" s="55" t="s">
        <v>4</v>
      </c>
      <c r="R23" s="55" t="s">
        <v>53</v>
      </c>
      <c r="S23" s="55" t="s">
        <v>4</v>
      </c>
      <c r="T23" s="55" t="s">
        <v>20</v>
      </c>
      <c r="U23" s="55" t="s">
        <v>21</v>
      </c>
      <c r="V23" s="55" t="s">
        <v>22</v>
      </c>
      <c r="W23" s="55" t="s">
        <v>4</v>
      </c>
      <c r="X23" s="55" t="s">
        <v>57</v>
      </c>
      <c r="Y23" s="55" t="s">
        <v>20</v>
      </c>
      <c r="Z23" s="55" t="s">
        <v>21</v>
      </c>
      <c r="AA23" s="55" t="s">
        <v>22</v>
      </c>
      <c r="AB23" s="55" t="s">
        <v>4</v>
      </c>
      <c r="AC23" s="55" t="s">
        <v>57</v>
      </c>
      <c r="AD23" s="55" t="s">
        <v>92</v>
      </c>
      <c r="AE23" s="55" t="s">
        <v>93</v>
      </c>
      <c r="AF23" s="55" t="s">
        <v>56</v>
      </c>
      <c r="AG23" s="55" t="s">
        <v>94</v>
      </c>
      <c r="AH23" s="55" t="s">
        <v>95</v>
      </c>
      <c r="AI23" s="55" t="s">
        <v>96</v>
      </c>
      <c r="AJ23" s="55" t="s">
        <v>97</v>
      </c>
      <c r="AK23" s="55" t="s">
        <v>54</v>
      </c>
      <c r="AL23" s="55" t="s">
        <v>55</v>
      </c>
      <c r="AM23" s="55" t="s">
        <v>98</v>
      </c>
      <c r="AN23" s="55" t="s">
        <v>99</v>
      </c>
      <c r="AO23" s="55" t="s">
        <v>100</v>
      </c>
    </row>
    <row r="24" spans="1:41" ht="15" customHeight="1">
      <c r="A24" t="s">
        <v>456</v>
      </c>
      <c r="B24" t="s">
        <v>457</v>
      </c>
      <c r="C24" s="45">
        <v>7.30593607305936</v>
      </c>
      <c r="D24" s="45">
        <v>221.54516717823913</v>
      </c>
      <c r="E24" s="45">
        <v>25.63</v>
      </c>
      <c r="F24" s="45">
        <v>-0.91</v>
      </c>
      <c r="G24" s="45">
        <v>0</v>
      </c>
      <c r="H24" s="45" t="s">
        <v>166</v>
      </c>
      <c r="I24" s="45">
        <v>0.4</v>
      </c>
      <c r="J24" s="45">
        <v>0.27799999713897705</v>
      </c>
      <c r="K24" s="45">
        <v>238.43798617557985</v>
      </c>
      <c r="L24" s="56">
        <v>0.018917168799838655</v>
      </c>
      <c r="M24" s="45">
        <v>0.06804737048389836</v>
      </c>
      <c r="N24" s="45"/>
      <c r="O24" s="45"/>
      <c r="P24" s="45">
        <v>25.62500546790874</v>
      </c>
      <c r="Q24" s="45">
        <v>28.33133101759624</v>
      </c>
      <c r="R24" s="45">
        <v>0</v>
      </c>
      <c r="S24" s="45">
        <v>-11.61673641204834</v>
      </c>
      <c r="T24" s="45">
        <v>0</v>
      </c>
      <c r="U24" s="45">
        <v>0</v>
      </c>
      <c r="V24" s="45">
        <v>25.62500546790874</v>
      </c>
      <c r="W24" s="45">
        <v>16.7145946055479</v>
      </c>
      <c r="X24" s="45">
        <v>42.33960007345664</v>
      </c>
      <c r="Y24" s="45">
        <v>0</v>
      </c>
      <c r="Z24" s="45">
        <v>0</v>
      </c>
      <c r="AA24" s="45">
        <v>8.441843032836914</v>
      </c>
      <c r="AB24" s="45">
        <v>5.506417751312256</v>
      </c>
      <c r="AC24" s="45">
        <v>13.948261373443238</v>
      </c>
      <c r="AD24" s="45">
        <v>92.570806333107</v>
      </c>
      <c r="AE24" s="45">
        <v>0.7224846541530408</v>
      </c>
      <c r="AF24" s="45">
        <v>10.980064392089844</v>
      </c>
      <c r="AG24" s="45">
        <v>104.24059353597153</v>
      </c>
      <c r="AH24" s="45">
        <v>25.62500546790874</v>
      </c>
      <c r="AI24" s="44">
        <v>4.067924733382647</v>
      </c>
      <c r="AJ24" s="45">
        <v>17.325773239135742</v>
      </c>
      <c r="AK24" s="45">
        <v>0</v>
      </c>
      <c r="AL24" s="45">
        <v>0</v>
      </c>
      <c r="AM24" s="45">
        <v>121.56636810302734</v>
      </c>
      <c r="AN24" s="45">
        <v>42.33960007345664</v>
      </c>
      <c r="AO24" s="44">
        <v>2.8712215423583984</v>
      </c>
    </row>
    <row r="25" spans="1:41" ht="15" customHeight="1">
      <c r="A25" t="s">
        <v>458</v>
      </c>
      <c r="B25" t="s">
        <v>459</v>
      </c>
      <c r="C25" s="45">
        <v>5.47945205479452</v>
      </c>
      <c r="D25" s="45">
        <v>342.6565252356765</v>
      </c>
      <c r="E25" s="45">
        <v>31.68</v>
      </c>
      <c r="F25" s="45">
        <v>-1.22</v>
      </c>
      <c r="G25" s="45">
        <v>0</v>
      </c>
      <c r="H25" s="45" t="s">
        <v>166</v>
      </c>
      <c r="I25" s="45">
        <v>0.4</v>
      </c>
      <c r="J25" s="45">
        <v>0.27799999713897705</v>
      </c>
      <c r="K25" s="45">
        <v>368.78408528489683</v>
      </c>
      <c r="L25" s="56">
        <v>0.029258554410417116</v>
      </c>
      <c r="M25" s="45">
        <v>0.10524659968176278</v>
      </c>
      <c r="N25" s="45"/>
      <c r="O25" s="45"/>
      <c r="P25" s="45">
        <v>31.67500675886866</v>
      </c>
      <c r="Q25" s="45">
        <v>43.71524979159661</v>
      </c>
      <c r="R25" s="45">
        <v>0</v>
      </c>
      <c r="S25" s="45">
        <v>-15.489405632019043</v>
      </c>
      <c r="T25" s="45">
        <v>0</v>
      </c>
      <c r="U25" s="45">
        <v>0</v>
      </c>
      <c r="V25" s="45">
        <v>31.67500675886866</v>
      </c>
      <c r="W25" s="45">
        <v>28.22584415957757</v>
      </c>
      <c r="X25" s="45">
        <v>59.900850918446224</v>
      </c>
      <c r="Y25" s="45">
        <v>0</v>
      </c>
      <c r="Z25" s="45">
        <v>0</v>
      </c>
      <c r="AA25" s="45">
        <v>6.746729850769043</v>
      </c>
      <c r="AB25" s="45">
        <v>6.012063026428223</v>
      </c>
      <c r="AC25" s="45">
        <v>12.758792997967745</v>
      </c>
      <c r="AD25" s="45">
        <v>143.1761804618724</v>
      </c>
      <c r="AE25" s="45">
        <v>1.1174429317567032</v>
      </c>
      <c r="AF25" s="45">
        <v>16.982500076293945</v>
      </c>
      <c r="AG25" s="45">
        <v>161.22545181883117</v>
      </c>
      <c r="AH25" s="45">
        <v>31.67500675886866</v>
      </c>
      <c r="AI25" s="44">
        <v>5.089989500118727</v>
      </c>
      <c r="AJ25" s="45">
        <v>26.79719352722168</v>
      </c>
      <c r="AK25" s="45">
        <v>0</v>
      </c>
      <c r="AL25" s="45">
        <v>0</v>
      </c>
      <c r="AM25" s="45">
        <v>188.02264404296875</v>
      </c>
      <c r="AN25" s="45">
        <v>59.900850918446224</v>
      </c>
      <c r="AO25" s="44">
        <v>3.138897657394409</v>
      </c>
    </row>
    <row r="26" spans="1:41" ht="15" customHeight="1">
      <c r="A26" t="s">
        <v>460</v>
      </c>
      <c r="B26" t="s">
        <v>461</v>
      </c>
      <c r="C26" s="45">
        <v>10.95890410958904</v>
      </c>
      <c r="D26" s="45">
        <v>165.4203914930852</v>
      </c>
      <c r="E26" s="45">
        <v>33.28</v>
      </c>
      <c r="F26" s="45">
        <v>-0.61</v>
      </c>
      <c r="G26" s="45">
        <v>0</v>
      </c>
      <c r="H26" s="45" t="s">
        <v>166</v>
      </c>
      <c r="I26" s="45">
        <v>0.4</v>
      </c>
      <c r="J26" s="45">
        <v>0.27799999713897705</v>
      </c>
      <c r="K26" s="45">
        <v>178.03369634443294</v>
      </c>
      <c r="L26" s="56">
        <v>0.014124819370546193</v>
      </c>
      <c r="M26" s="45">
        <v>0.0508087032946441</v>
      </c>
      <c r="N26" s="45"/>
      <c r="O26" s="45"/>
      <c r="P26" s="45">
        <v>33.275007100279545</v>
      </c>
      <c r="Q26" s="45">
        <v>17.241599394207025</v>
      </c>
      <c r="R26" s="45">
        <v>0</v>
      </c>
      <c r="S26" s="45">
        <v>-7.74406623840332</v>
      </c>
      <c r="T26" s="45">
        <v>0</v>
      </c>
      <c r="U26" s="45">
        <v>0</v>
      </c>
      <c r="V26" s="45">
        <v>33.275007100279545</v>
      </c>
      <c r="W26" s="45">
        <v>9.497533155803705</v>
      </c>
      <c r="X26" s="45">
        <v>42.772540256083246</v>
      </c>
      <c r="Y26" s="45">
        <v>0</v>
      </c>
      <c r="Z26" s="45">
        <v>0</v>
      </c>
      <c r="AA26" s="45">
        <v>14.681306838989258</v>
      </c>
      <c r="AB26" s="45">
        <v>4.190418243408203</v>
      </c>
      <c r="AC26" s="45">
        <v>18.871725268811876</v>
      </c>
      <c r="AD26" s="45">
        <v>69.11953539538652</v>
      </c>
      <c r="AE26" s="45">
        <v>0.5394552084342705</v>
      </c>
      <c r="AF26" s="45">
        <v>8.198448181152344</v>
      </c>
      <c r="AG26" s="45">
        <v>77.83297660858396</v>
      </c>
      <c r="AH26" s="45">
        <v>33.275007100279545</v>
      </c>
      <c r="AI26" s="44">
        <v>2.3390821938526374</v>
      </c>
      <c r="AJ26" s="45">
        <v>12.936575889587402</v>
      </c>
      <c r="AK26" s="45">
        <v>0</v>
      </c>
      <c r="AL26" s="45">
        <v>0</v>
      </c>
      <c r="AM26" s="45">
        <v>90.7695541381836</v>
      </c>
      <c r="AN26" s="45">
        <v>42.772540256083246</v>
      </c>
      <c r="AO26" s="44">
        <v>2.122145414352417</v>
      </c>
    </row>
    <row r="27" spans="1:41" ht="15" customHeight="1">
      <c r="A27" t="s">
        <v>462</v>
      </c>
      <c r="B27" t="s">
        <v>463</v>
      </c>
      <c r="C27" s="45">
        <v>21.91780821917808</v>
      </c>
      <c r="D27" s="45">
        <v>60.0454537952173</v>
      </c>
      <c r="E27" s="45">
        <v>30.68</v>
      </c>
      <c r="F27" s="45">
        <v>-0.3</v>
      </c>
      <c r="G27" s="45">
        <v>0</v>
      </c>
      <c r="H27" s="45" t="s">
        <v>166</v>
      </c>
      <c r="I27" s="45">
        <v>0.4</v>
      </c>
      <c r="J27" s="45">
        <v>0.27799999713897705</v>
      </c>
      <c r="K27" s="45">
        <v>64.62391964710261</v>
      </c>
      <c r="L27" s="56">
        <v>0.005127125992295664</v>
      </c>
      <c r="M27" s="45">
        <v>0.018442899442666267</v>
      </c>
      <c r="N27" s="45"/>
      <c r="O27" s="45"/>
      <c r="P27" s="45">
        <v>29.05754582550495</v>
      </c>
      <c r="Q27" s="45">
        <v>0</v>
      </c>
      <c r="R27" s="45">
        <v>0</v>
      </c>
      <c r="S27" s="45">
        <v>-3.872668981552124</v>
      </c>
      <c r="T27" s="45">
        <v>0</v>
      </c>
      <c r="U27" s="45">
        <v>0</v>
      </c>
      <c r="V27" s="45">
        <v>29.05754582550495</v>
      </c>
      <c r="W27" s="45">
        <v>-3.872668981552124</v>
      </c>
      <c r="X27" s="45">
        <v>25.184876843952825</v>
      </c>
      <c r="Y27" s="45">
        <v>0</v>
      </c>
      <c r="Z27" s="45">
        <v>0</v>
      </c>
      <c r="AA27" s="45">
        <v>35.319488525390625</v>
      </c>
      <c r="AB27" s="45">
        <v>-4.707234859466553</v>
      </c>
      <c r="AC27" s="45">
        <v>30.612253864603165</v>
      </c>
      <c r="AD27" s="45">
        <v>25.089493692221453</v>
      </c>
      <c r="AE27" s="45">
        <v>0.19581523474984233</v>
      </c>
      <c r="AF27" s="45">
        <v>2.9759302139282227</v>
      </c>
      <c r="AG27" s="45">
        <v>28.252359688560848</v>
      </c>
      <c r="AH27" s="45">
        <v>29.05754582550495</v>
      </c>
      <c r="AI27" s="65">
        <v>0.9722899469287817</v>
      </c>
      <c r="AJ27" s="45">
        <v>4.695809364318848</v>
      </c>
      <c r="AK27" s="45">
        <v>0</v>
      </c>
      <c r="AL27" s="45">
        <v>0</v>
      </c>
      <c r="AM27" s="45">
        <v>32.94816970825195</v>
      </c>
      <c r="AN27" s="45">
        <v>25.184876843952825</v>
      </c>
      <c r="AO27" s="44">
        <v>1.308252215385437</v>
      </c>
    </row>
    <row r="28" spans="1:41" ht="15" customHeight="1">
      <c r="A28" t="s">
        <v>464</v>
      </c>
      <c r="B28" t="s">
        <v>465</v>
      </c>
      <c r="C28" s="45">
        <v>21.91780821917808</v>
      </c>
      <c r="D28" s="45">
        <v>59.07871124753043</v>
      </c>
      <c r="E28" s="45">
        <v>22.88</v>
      </c>
      <c r="F28" s="45">
        <v>-0.3</v>
      </c>
      <c r="G28" s="45">
        <v>0</v>
      </c>
      <c r="H28" s="45" t="s">
        <v>166</v>
      </c>
      <c r="I28" s="45">
        <v>0.4</v>
      </c>
      <c r="J28" s="45">
        <v>0.27799999713897705</v>
      </c>
      <c r="K28" s="45">
        <v>63.58346298015462</v>
      </c>
      <c r="L28" s="56">
        <v>0.0050445783466236405</v>
      </c>
      <c r="M28" s="45">
        <v>0.018145965462372893</v>
      </c>
      <c r="N28" s="45"/>
      <c r="O28" s="45"/>
      <c r="P28" s="45">
        <v>21.6688300165746</v>
      </c>
      <c r="Q28" s="45">
        <v>0</v>
      </c>
      <c r="R28" s="45">
        <v>0</v>
      </c>
      <c r="S28" s="45">
        <v>-3.872668981552124</v>
      </c>
      <c r="T28" s="45">
        <v>0</v>
      </c>
      <c r="U28" s="45">
        <v>0</v>
      </c>
      <c r="V28" s="45">
        <v>21.6688300165746</v>
      </c>
      <c r="W28" s="45">
        <v>-3.872668981552124</v>
      </c>
      <c r="X28" s="45">
        <v>17.796161035022475</v>
      </c>
      <c r="Y28" s="45">
        <v>0</v>
      </c>
      <c r="Z28" s="45">
        <v>0</v>
      </c>
      <c r="AA28" s="45">
        <v>26.769487380981445</v>
      </c>
      <c r="AB28" s="45">
        <v>-4.784262180328369</v>
      </c>
      <c r="AC28" s="45">
        <v>21.985225279323913</v>
      </c>
      <c r="AD28" s="45">
        <v>24.685548355495214</v>
      </c>
      <c r="AE28" s="45">
        <v>0.19266257444081092</v>
      </c>
      <c r="AF28" s="45">
        <v>2.9280171394348145</v>
      </c>
      <c r="AG28" s="45">
        <v>27.797491577803278</v>
      </c>
      <c r="AH28" s="45">
        <v>21.6688300165746</v>
      </c>
      <c r="AI28" s="44">
        <v>1.2828330628160742</v>
      </c>
      <c r="AJ28" s="45">
        <v>4.620204925537109</v>
      </c>
      <c r="AK28" s="45">
        <v>0</v>
      </c>
      <c r="AL28" s="45">
        <v>0</v>
      </c>
      <c r="AM28" s="45">
        <v>32.41769790649414</v>
      </c>
      <c r="AN28" s="45">
        <v>17.796161035022475</v>
      </c>
      <c r="AO28" s="44">
        <v>1.8216118812561035</v>
      </c>
    </row>
    <row r="29" spans="1:41" ht="15" customHeight="1">
      <c r="A29" t="s">
        <v>466</v>
      </c>
      <c r="B29" t="s">
        <v>467</v>
      </c>
      <c r="C29" s="45">
        <v>5.47945205479452</v>
      </c>
      <c r="D29" s="45">
        <v>90.44992</v>
      </c>
      <c r="E29" s="45">
        <v>6.96</v>
      </c>
      <c r="F29" s="45">
        <v>-1.22</v>
      </c>
      <c r="G29" s="45">
        <v>0</v>
      </c>
      <c r="H29" s="45" t="s">
        <v>166</v>
      </c>
      <c r="I29" s="45">
        <v>0.4</v>
      </c>
      <c r="J29" s="45">
        <v>0.27799999713897705</v>
      </c>
      <c r="K29" s="45">
        <v>97.34672640000001</v>
      </c>
      <c r="L29" s="56">
        <v>0.007723284720516206</v>
      </c>
      <c r="M29" s="45">
        <v>0.027781600000000004</v>
      </c>
      <c r="N29" s="45"/>
      <c r="O29" s="45"/>
      <c r="P29" s="45">
        <v>6.95500148407045</v>
      </c>
      <c r="Q29" s="45">
        <v>9.598723355976462</v>
      </c>
      <c r="R29" s="45">
        <v>0</v>
      </c>
      <c r="S29" s="45">
        <v>-15.489405632019043</v>
      </c>
      <c r="T29" s="45">
        <v>0</v>
      </c>
      <c r="U29" s="45">
        <v>0</v>
      </c>
      <c r="V29" s="45">
        <v>6.95500148407045</v>
      </c>
      <c r="W29" s="45">
        <v>-5.890682276042581</v>
      </c>
      <c r="X29" s="45">
        <v>1.064319208027868</v>
      </c>
      <c r="Y29" s="45">
        <v>0</v>
      </c>
      <c r="Z29" s="45">
        <v>0</v>
      </c>
      <c r="AA29" s="45">
        <v>5.612090110778809</v>
      </c>
      <c r="AB29" s="45">
        <v>-4.7532758712768555</v>
      </c>
      <c r="AC29" s="45">
        <v>0.8588144026293233</v>
      </c>
      <c r="AD29" s="45">
        <v>37.793747134320014</v>
      </c>
      <c r="AE29" s="45">
        <v>0.2949677485710868</v>
      </c>
      <c r="AF29" s="45">
        <v>4.482814788818359</v>
      </c>
      <c r="AG29" s="45">
        <v>42.55815404203372</v>
      </c>
      <c r="AH29" s="45">
        <v>6.95500148407045</v>
      </c>
      <c r="AI29" s="44">
        <v>6.119071885104235</v>
      </c>
      <c r="AJ29" s="45">
        <v>7.073566436767578</v>
      </c>
      <c r="AK29" s="45">
        <v>0</v>
      </c>
      <c r="AL29" s="45">
        <v>0</v>
      </c>
      <c r="AM29" s="45">
        <v>49.63172149658203</v>
      </c>
      <c r="AN29" s="45">
        <v>1.064319208027868</v>
      </c>
      <c r="AO29" s="44">
        <v>46.63236618041992</v>
      </c>
    </row>
    <row r="30" spans="1:41" ht="15" customHeight="1">
      <c r="A30" t="s">
        <v>468</v>
      </c>
      <c r="B30" t="s">
        <v>469</v>
      </c>
      <c r="C30" s="45">
        <v>10.95890410958904</v>
      </c>
      <c r="D30" s="45">
        <v>53.036544000000006</v>
      </c>
      <c r="E30" s="45">
        <v>12</v>
      </c>
      <c r="F30" s="45">
        <v>-0.61</v>
      </c>
      <c r="G30" s="45">
        <v>0</v>
      </c>
      <c r="H30" s="45" t="s">
        <v>166</v>
      </c>
      <c r="I30" s="45">
        <v>0.4</v>
      </c>
      <c r="J30" s="45">
        <v>0.27799999713897705</v>
      </c>
      <c r="K30" s="45">
        <v>57.08058048</v>
      </c>
      <c r="L30" s="56">
        <v>0.004528653313393592</v>
      </c>
      <c r="M30" s="45">
        <v>0.016290119999999998</v>
      </c>
      <c r="N30" s="45"/>
      <c r="O30" s="45"/>
      <c r="P30" s="45">
        <v>11.995002559514743</v>
      </c>
      <c r="Q30" s="45">
        <v>6.215266257956821</v>
      </c>
      <c r="R30" s="45">
        <v>0</v>
      </c>
      <c r="S30" s="45">
        <v>-7.74406623840332</v>
      </c>
      <c r="T30" s="45">
        <v>0</v>
      </c>
      <c r="U30" s="45">
        <v>0</v>
      </c>
      <c r="V30" s="45">
        <v>11.995002559514743</v>
      </c>
      <c r="W30" s="45">
        <v>-1.5287999804464993</v>
      </c>
      <c r="X30" s="45">
        <v>10.466202579068245</v>
      </c>
      <c r="Y30" s="45">
        <v>0</v>
      </c>
      <c r="Z30" s="45">
        <v>0</v>
      </c>
      <c r="AA30" s="45">
        <v>16.506717681884766</v>
      </c>
      <c r="AB30" s="45">
        <v>-2.1038320064544678</v>
      </c>
      <c r="AC30" s="45">
        <v>14.402886094502989</v>
      </c>
      <c r="AD30" s="45">
        <v>22.160879001487633</v>
      </c>
      <c r="AE30" s="45">
        <v>0.1729583616621372</v>
      </c>
      <c r="AF30" s="45">
        <v>2.6285595893859863</v>
      </c>
      <c r="AG30" s="45">
        <v>24.954553969680436</v>
      </c>
      <c r="AH30" s="45">
        <v>11.995002559514743</v>
      </c>
      <c r="AI30" s="44">
        <v>2.0804125589690554</v>
      </c>
      <c r="AJ30" s="45">
        <v>4.1476826667785645</v>
      </c>
      <c r="AK30" s="45">
        <v>0</v>
      </c>
      <c r="AL30" s="45">
        <v>0</v>
      </c>
      <c r="AM30" s="45">
        <v>29.102235794067383</v>
      </c>
      <c r="AN30" s="45">
        <v>10.466202579068245</v>
      </c>
      <c r="AO30" s="44">
        <v>2.7805917263031006</v>
      </c>
    </row>
    <row r="31" spans="1:41" ht="15" customHeight="1">
      <c r="A31" t="s">
        <v>470</v>
      </c>
      <c r="B31" t="s">
        <v>471</v>
      </c>
      <c r="C31" s="45">
        <v>12.942351598173518</v>
      </c>
      <c r="D31" s="45">
        <v>178.51715153690031</v>
      </c>
      <c r="E31" s="45">
        <v>29.27</v>
      </c>
      <c r="F31" s="45">
        <v>-0.7</v>
      </c>
      <c r="G31" s="45">
        <v>0</v>
      </c>
      <c r="H31" s="45" t="s">
        <v>166</v>
      </c>
      <c r="I31" s="45">
        <v>0.4</v>
      </c>
      <c r="J31" s="45">
        <v>0.27799999713897705</v>
      </c>
      <c r="K31" s="45">
        <v>192.12908434158896</v>
      </c>
      <c r="L31" s="56">
        <v>0.015243117835980596</v>
      </c>
      <c r="M31" s="45">
        <v>0.054831359686526526</v>
      </c>
      <c r="N31" s="45"/>
      <c r="O31" s="45"/>
      <c r="P31" s="45">
        <v>29.265206244661183</v>
      </c>
      <c r="Q31" s="45">
        <v>9.95232307416775</v>
      </c>
      <c r="R31" s="45">
        <v>0</v>
      </c>
      <c r="S31" s="45">
        <v>-8.864365577697754</v>
      </c>
      <c r="T31" s="45">
        <v>0</v>
      </c>
      <c r="U31" s="45">
        <v>0</v>
      </c>
      <c r="V31" s="45">
        <v>29.265206244661183</v>
      </c>
      <c r="W31" s="45">
        <v>1.087957496469997</v>
      </c>
      <c r="X31" s="45">
        <v>30.353163741131183</v>
      </c>
      <c r="Y31" s="45">
        <v>0</v>
      </c>
      <c r="Z31" s="45">
        <v>0</v>
      </c>
      <c r="AA31" s="45">
        <v>11.964849472045898</v>
      </c>
      <c r="AB31" s="45">
        <v>0.4448028802871704</v>
      </c>
      <c r="AC31" s="45">
        <v>12.409652556172352</v>
      </c>
      <c r="AD31" s="45">
        <v>74.59190770234733</v>
      </c>
      <c r="AE31" s="45">
        <v>0.582165271900329</v>
      </c>
      <c r="AF31" s="45">
        <v>8.847539901733398</v>
      </c>
      <c r="AG31" s="45">
        <v>83.99521396584686</v>
      </c>
      <c r="AH31" s="45">
        <v>29.265206244661183</v>
      </c>
      <c r="AI31" s="44">
        <v>2.8701391428317717</v>
      </c>
      <c r="AJ31" s="45">
        <v>13.960796356201172</v>
      </c>
      <c r="AK31" s="45">
        <v>0</v>
      </c>
      <c r="AL31" s="45">
        <v>0</v>
      </c>
      <c r="AM31" s="45">
        <v>97.95600891113281</v>
      </c>
      <c r="AN31" s="45">
        <v>30.353163741131183</v>
      </c>
      <c r="AO31" s="44">
        <v>3.2272090911865234</v>
      </c>
    </row>
    <row r="32" spans="1:41" ht="15" customHeight="1">
      <c r="A32" t="s">
        <v>472</v>
      </c>
      <c r="B32" t="s">
        <v>473</v>
      </c>
      <c r="C32" s="45">
        <v>8.767123287671232</v>
      </c>
      <c r="D32" s="45">
        <v>68.0018944</v>
      </c>
      <c r="E32" s="45">
        <v>9.98</v>
      </c>
      <c r="F32" s="45">
        <v>-0.85</v>
      </c>
      <c r="G32" s="45">
        <v>0</v>
      </c>
      <c r="H32" s="45" t="s">
        <v>166</v>
      </c>
      <c r="I32" s="45">
        <v>0.4</v>
      </c>
      <c r="J32" s="45">
        <v>0.27799999713897705</v>
      </c>
      <c r="K32" s="45">
        <v>73.18703884799999</v>
      </c>
      <c r="L32" s="56">
        <v>0.005806505876242637</v>
      </c>
      <c r="M32" s="45">
        <v>0.020886711999999995</v>
      </c>
      <c r="N32" s="45"/>
      <c r="O32" s="45"/>
      <c r="P32" s="45">
        <v>9.979002129337026</v>
      </c>
      <c r="Q32" s="45">
        <v>8.093392677617429</v>
      </c>
      <c r="R32" s="45">
        <v>0</v>
      </c>
      <c r="S32" s="45">
        <v>-10.842710494995117</v>
      </c>
      <c r="T32" s="45">
        <v>0</v>
      </c>
      <c r="U32" s="45">
        <v>0</v>
      </c>
      <c r="V32" s="45">
        <v>9.979002129337026</v>
      </c>
      <c r="W32" s="45">
        <v>-2.7493178173776887</v>
      </c>
      <c r="X32" s="45">
        <v>7.229684311959339</v>
      </c>
      <c r="Y32" s="45">
        <v>0</v>
      </c>
      <c r="Z32" s="45">
        <v>0</v>
      </c>
      <c r="AA32" s="45">
        <v>10.710301399230957</v>
      </c>
      <c r="AB32" s="45">
        <v>-2.950798511505127</v>
      </c>
      <c r="AC32" s="45">
        <v>7.759503416323839</v>
      </c>
      <c r="AD32" s="45">
        <v>28.414026254620545</v>
      </c>
      <c r="AE32" s="45">
        <v>0.22176211642571705</v>
      </c>
      <c r="AF32" s="45">
        <v>3.3702616691589355</v>
      </c>
      <c r="AG32" s="45">
        <v>31.99599399862171</v>
      </c>
      <c r="AH32" s="45">
        <v>9.979002129337026</v>
      </c>
      <c r="AI32" s="44">
        <v>3.2063320143561715</v>
      </c>
      <c r="AJ32" s="45">
        <v>5.3180365562438965</v>
      </c>
      <c r="AK32" s="45">
        <v>0</v>
      </c>
      <c r="AL32" s="45">
        <v>0</v>
      </c>
      <c r="AM32" s="45">
        <v>37.314029693603516</v>
      </c>
      <c r="AN32" s="45">
        <v>7.229684311959339</v>
      </c>
      <c r="AO32" s="44">
        <v>5.161225318908691</v>
      </c>
    </row>
    <row r="33" spans="1:41" ht="15" customHeight="1">
      <c r="A33" t="s">
        <v>474</v>
      </c>
      <c r="B33" t="s">
        <v>475</v>
      </c>
      <c r="C33" s="45">
        <v>9.294657926757466</v>
      </c>
      <c r="D33" s="45">
        <v>163.58265732921112</v>
      </c>
      <c r="E33" s="45">
        <v>26.66</v>
      </c>
      <c r="F33" s="45">
        <v>-0.72</v>
      </c>
      <c r="G33" s="45">
        <v>0</v>
      </c>
      <c r="H33" s="45" t="s">
        <v>166</v>
      </c>
      <c r="I33" s="45">
        <v>0.4</v>
      </c>
      <c r="J33" s="45">
        <v>0.27799999713897705</v>
      </c>
      <c r="K33" s="45">
        <v>176.05583495056348</v>
      </c>
      <c r="L33" s="56">
        <v>0.01396790000358358</v>
      </c>
      <c r="M33" s="45">
        <v>0.05024424513429323</v>
      </c>
      <c r="N33" s="45"/>
      <c r="O33" s="45"/>
      <c r="P33" s="45">
        <v>26.659005688545523</v>
      </c>
      <c r="Q33" s="45">
        <v>19.39998547059638</v>
      </c>
      <c r="R33" s="45">
        <v>0</v>
      </c>
      <c r="S33" s="45">
        <v>-9.131709098815918</v>
      </c>
      <c r="T33" s="45">
        <v>0</v>
      </c>
      <c r="U33" s="45">
        <v>0</v>
      </c>
      <c r="V33" s="45">
        <v>26.659005688545523</v>
      </c>
      <c r="W33" s="45">
        <v>10.268276371780463</v>
      </c>
      <c r="X33" s="45">
        <v>36.927282060325986</v>
      </c>
      <c r="Y33" s="45">
        <v>0</v>
      </c>
      <c r="Z33" s="45">
        <v>0</v>
      </c>
      <c r="AA33" s="45">
        <v>11.894392967224121</v>
      </c>
      <c r="AB33" s="45">
        <v>4.581375598907471</v>
      </c>
      <c r="AC33" s="45">
        <v>16.475768875312294</v>
      </c>
      <c r="AD33" s="45">
        <v>68.35165345265443</v>
      </c>
      <c r="AE33" s="45">
        <v>0.5334621427821382</v>
      </c>
      <c r="AF33" s="45">
        <v>8.107367515563965</v>
      </c>
      <c r="AG33" s="45">
        <v>76.96829269661644</v>
      </c>
      <c r="AH33" s="45">
        <v>26.659005688545523</v>
      </c>
      <c r="AI33" s="44">
        <v>2.887140413105772</v>
      </c>
      <c r="AJ33" s="45">
        <v>12.792858123779297</v>
      </c>
      <c r="AK33" s="45">
        <v>0</v>
      </c>
      <c r="AL33" s="45">
        <v>0</v>
      </c>
      <c r="AM33" s="45">
        <v>89.76115417480469</v>
      </c>
      <c r="AN33" s="45">
        <v>36.927282060325986</v>
      </c>
      <c r="AO33" s="44">
        <v>2.4307544231414795</v>
      </c>
    </row>
    <row r="34" spans="1:41" ht="15" customHeight="1">
      <c r="A34" t="s">
        <v>486</v>
      </c>
      <c r="B34" t="s">
        <v>483</v>
      </c>
      <c r="C34" s="45">
        <v>9.294657926757466</v>
      </c>
      <c r="D34" s="45">
        <v>969.9484113134216</v>
      </c>
      <c r="E34" s="45">
        <v>163.08</v>
      </c>
      <c r="F34" s="45">
        <v>-3.35</v>
      </c>
      <c r="G34" s="45">
        <v>0</v>
      </c>
      <c r="H34" s="45" t="s">
        <v>166</v>
      </c>
      <c r="I34" s="45">
        <v>0.4</v>
      </c>
      <c r="J34" s="45">
        <v>0.27799999713897705</v>
      </c>
      <c r="K34" s="45">
        <v>1043.90697767607</v>
      </c>
      <c r="L34" s="56">
        <v>0.0828213860751443</v>
      </c>
      <c r="M34" s="45">
        <v>0.29791865801257705</v>
      </c>
      <c r="N34" s="45"/>
      <c r="O34" s="45"/>
      <c r="P34" s="45">
        <v>163.07503479723775</v>
      </c>
      <c r="Q34" s="45">
        <v>118.67109158698767</v>
      </c>
      <c r="R34" s="45">
        <v>0</v>
      </c>
      <c r="S34" s="45">
        <v>-42.594276428222656</v>
      </c>
      <c r="T34" s="45">
        <v>0</v>
      </c>
      <c r="U34" s="45">
        <v>0</v>
      </c>
      <c r="V34" s="45">
        <v>163.07503479723775</v>
      </c>
      <c r="W34" s="45">
        <v>76.07681515876502</v>
      </c>
      <c r="X34" s="45">
        <v>239.15184995600276</v>
      </c>
      <c r="Y34" s="45">
        <v>0</v>
      </c>
      <c r="Z34" s="45">
        <v>0</v>
      </c>
      <c r="AA34" s="45">
        <v>12.270844459533691</v>
      </c>
      <c r="AB34" s="45">
        <v>5.724523067474365</v>
      </c>
      <c r="AC34" s="45">
        <v>17.995367275783796</v>
      </c>
      <c r="AD34" s="45">
        <v>405.2848801913236</v>
      </c>
      <c r="AE34" s="45">
        <v>3.1631150045817886</v>
      </c>
      <c r="AF34" s="45">
        <v>48.071895599365234</v>
      </c>
      <c r="AG34" s="45">
        <v>456.3764559447556</v>
      </c>
      <c r="AH34" s="45">
        <v>163.07503479723775</v>
      </c>
      <c r="AI34" s="44">
        <v>2.7985672761756537</v>
      </c>
      <c r="AJ34" s="45">
        <v>75.85406494140625</v>
      </c>
      <c r="AK34" s="45">
        <v>0</v>
      </c>
      <c r="AL34" s="45">
        <v>0</v>
      </c>
      <c r="AM34" s="45">
        <v>532.2305297851562</v>
      </c>
      <c r="AN34" s="45">
        <v>239.15184995600276</v>
      </c>
      <c r="AO34" s="44">
        <v>2.225492000579834</v>
      </c>
    </row>
    <row r="35" spans="1:41" ht="15" customHeight="1">
      <c r="A35"/>
      <c r="B35"/>
      <c r="C35" s="45"/>
      <c r="D35" s="45"/>
      <c r="E35" s="45"/>
      <c r="F35" s="45"/>
      <c r="G35" s="45"/>
      <c r="H35" s="45"/>
      <c r="I35" s="45"/>
      <c r="J35" s="45"/>
      <c r="K35" s="45"/>
      <c r="L35" s="56"/>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57"/>
    </row>
    <row r="36" spans="1:41" ht="15" customHeight="1" thickBot="1">
      <c r="A36"/>
      <c r="B36"/>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row>
    <row r="37" spans="1:41" ht="15" customHeight="1" thickBot="1">
      <c r="A37" s="58" t="s">
        <v>130</v>
      </c>
      <c r="B37" s="67"/>
      <c r="C37" s="68" t="s">
        <v>101</v>
      </c>
      <c r="D37" s="59"/>
      <c r="E37" s="59"/>
      <c r="F37" s="59"/>
      <c r="G37" s="59"/>
      <c r="H37" s="59"/>
      <c r="I37" s="59"/>
      <c r="J37" s="60"/>
      <c r="K37" s="68" t="s">
        <v>45</v>
      </c>
      <c r="L37" s="59"/>
      <c r="M37" s="60"/>
      <c r="N37" s="68" t="s">
        <v>102</v>
      </c>
      <c r="O37" s="59"/>
      <c r="P37" s="59"/>
      <c r="Q37" s="59"/>
      <c r="R37" s="69" t="s">
        <v>103</v>
      </c>
      <c r="S37" s="68" t="s">
        <v>79</v>
      </c>
      <c r="T37" s="59"/>
      <c r="U37" s="59"/>
      <c r="V37" s="59"/>
      <c r="W37" s="59"/>
      <c r="X37" s="60"/>
      <c r="Y37" s="68" t="s">
        <v>80</v>
      </c>
      <c r="Z37" s="59"/>
      <c r="AA37" s="59"/>
      <c r="AB37" s="59"/>
      <c r="AC37" s="59"/>
      <c r="AD37" s="60"/>
      <c r="AE37" s="45"/>
      <c r="AF37" s="45"/>
      <c r="AG37" s="45"/>
      <c r="AH37" s="45"/>
      <c r="AI37" s="45"/>
      <c r="AJ37" s="45"/>
      <c r="AK37" s="45"/>
      <c r="AL37" s="45"/>
      <c r="AM37" s="45"/>
      <c r="AN37" s="45"/>
      <c r="AO37" s="45"/>
    </row>
    <row r="38" spans="1:41" ht="51">
      <c r="A38" s="53"/>
      <c r="B38" s="54" t="s">
        <v>51</v>
      </c>
      <c r="C38" s="55" t="s">
        <v>104</v>
      </c>
      <c r="D38" s="55" t="s">
        <v>82</v>
      </c>
      <c r="E38" s="55" t="s">
        <v>83</v>
      </c>
      <c r="F38" s="55" t="s">
        <v>84</v>
      </c>
      <c r="G38" s="55" t="s">
        <v>85</v>
      </c>
      <c r="H38" s="55" t="s">
        <v>86</v>
      </c>
      <c r="I38" s="55" t="s">
        <v>105</v>
      </c>
      <c r="J38" s="55" t="s">
        <v>106</v>
      </c>
      <c r="K38" s="55" t="s">
        <v>89</v>
      </c>
      <c r="L38" s="55" t="s">
        <v>90</v>
      </c>
      <c r="M38" s="55" t="s">
        <v>91</v>
      </c>
      <c r="N38" s="55" t="s">
        <v>46</v>
      </c>
      <c r="O38" s="55" t="s">
        <v>107</v>
      </c>
      <c r="P38" s="55" t="s">
        <v>108</v>
      </c>
      <c r="Q38" s="55" t="s">
        <v>109</v>
      </c>
      <c r="R38" s="55" t="s">
        <v>110</v>
      </c>
      <c r="S38" s="55" t="s">
        <v>92</v>
      </c>
      <c r="T38" s="55" t="s">
        <v>93</v>
      </c>
      <c r="U38" s="55" t="s">
        <v>56</v>
      </c>
      <c r="V38" s="55" t="s">
        <v>94</v>
      </c>
      <c r="W38" s="55" t="s">
        <v>95</v>
      </c>
      <c r="X38" s="55" t="s">
        <v>96</v>
      </c>
      <c r="Y38" s="55" t="s">
        <v>97</v>
      </c>
      <c r="Z38" s="55" t="s">
        <v>54</v>
      </c>
      <c r="AA38" s="55" t="s">
        <v>55</v>
      </c>
      <c r="AB38" s="55" t="s">
        <v>98</v>
      </c>
      <c r="AC38" s="55" t="s">
        <v>99</v>
      </c>
      <c r="AD38" s="55" t="s">
        <v>100</v>
      </c>
      <c r="AE38" s="45"/>
      <c r="AF38" s="45"/>
      <c r="AG38" s="45"/>
      <c r="AH38" s="45"/>
      <c r="AI38" s="45"/>
      <c r="AJ38" s="45"/>
      <c r="AK38" s="45"/>
      <c r="AL38" s="45"/>
      <c r="AM38" s="45"/>
      <c r="AN38" s="45"/>
      <c r="AO38" s="45"/>
    </row>
    <row r="39" spans="1:41" ht="15" customHeight="1">
      <c r="A39"/>
      <c r="B39" t="s">
        <v>466</v>
      </c>
      <c r="C39" s="45">
        <v>5.47945205479452</v>
      </c>
      <c r="D39" s="45">
        <v>90.44992</v>
      </c>
      <c r="E39" s="45">
        <v>6.96</v>
      </c>
      <c r="F39" s="45">
        <v>-1.22</v>
      </c>
      <c r="G39" s="45">
        <v>0</v>
      </c>
      <c r="H39" s="45"/>
      <c r="I39" s="45">
        <v>0.4</v>
      </c>
      <c r="J39" s="45">
        <v>0.27799999713897705</v>
      </c>
      <c r="K39" s="45">
        <v>97.34672640000001</v>
      </c>
      <c r="L39" s="45">
        <v>0.007723284720516206</v>
      </c>
      <c r="M39" s="45">
        <v>0.027781600132584572</v>
      </c>
      <c r="N39" s="45">
        <v>16.55372484004691</v>
      </c>
      <c r="O39" s="45">
        <v>-15.489405632019043</v>
      </c>
      <c r="P39" s="45">
        <v>0</v>
      </c>
      <c r="Q39" s="45">
        <v>1.0643192529678345</v>
      </c>
      <c r="R39" s="45">
        <v>0.8588144073411537</v>
      </c>
      <c r="S39" s="45">
        <v>37.793747134320014</v>
      </c>
      <c r="T39" s="45">
        <v>0.29496774077415466</v>
      </c>
      <c r="U39" s="45">
        <v>4.482814788818359</v>
      </c>
      <c r="V39" s="45">
        <v>42.55815404203372</v>
      </c>
      <c r="W39" s="45">
        <v>6.95500148407045</v>
      </c>
      <c r="X39" s="44">
        <v>6.119071885104235</v>
      </c>
      <c r="Y39" s="56">
        <v>7.073566436767578</v>
      </c>
      <c r="Z39" s="56">
        <v>0</v>
      </c>
      <c r="AA39" s="56">
        <v>0</v>
      </c>
      <c r="AB39" s="56">
        <v>55.522403717041016</v>
      </c>
      <c r="AC39" s="56">
        <v>1.0643192529678345</v>
      </c>
      <c r="AD39" s="44">
        <v>52.167057037353516</v>
      </c>
      <c r="AE39" s="56"/>
      <c r="AF39" s="56"/>
      <c r="AG39" s="56"/>
      <c r="AH39" s="56"/>
      <c r="AI39" s="56"/>
      <c r="AJ39" s="56"/>
      <c r="AK39" s="56"/>
      <c r="AL39" s="45"/>
      <c r="AM39" s="45"/>
      <c r="AN39" s="45"/>
      <c r="AO39" s="45"/>
    </row>
    <row r="40" spans="1:41" ht="15" customHeight="1">
      <c r="A40"/>
      <c r="B40" t="s">
        <v>472</v>
      </c>
      <c r="C40" s="45">
        <v>8.767123287671232</v>
      </c>
      <c r="D40" s="45">
        <v>68.0018944</v>
      </c>
      <c r="E40" s="45">
        <v>9.98</v>
      </c>
      <c r="F40" s="45">
        <v>-0.85</v>
      </c>
      <c r="G40" s="45">
        <v>0</v>
      </c>
      <c r="H40" s="45"/>
      <c r="I40" s="45">
        <v>0.4</v>
      </c>
      <c r="J40" s="45">
        <v>0.27799999713897705</v>
      </c>
      <c r="K40" s="45">
        <v>73.18703884799999</v>
      </c>
      <c r="L40" s="45">
        <v>0.005806505876242637</v>
      </c>
      <c r="M40" s="45">
        <v>0.02088671177625656</v>
      </c>
      <c r="N40" s="45">
        <v>18.072394806954456</v>
      </c>
      <c r="O40" s="45">
        <v>-10.842710494995117</v>
      </c>
      <c r="P40" s="45">
        <v>0</v>
      </c>
      <c r="Q40" s="45">
        <v>7.229684352874756</v>
      </c>
      <c r="R40" s="45">
        <v>7.759503693610115</v>
      </c>
      <c r="S40" s="45">
        <v>28.414026254620545</v>
      </c>
      <c r="T40" s="45">
        <v>0.22176212072372437</v>
      </c>
      <c r="U40" s="45">
        <v>3.3702616691589355</v>
      </c>
      <c r="V40" s="45">
        <v>31.99599399862171</v>
      </c>
      <c r="W40" s="45">
        <v>9.979002129337026</v>
      </c>
      <c r="X40" s="44">
        <v>3.2063320143561715</v>
      </c>
      <c r="Y40" s="56">
        <v>5.3180365562438965</v>
      </c>
      <c r="Z40" s="56">
        <v>0</v>
      </c>
      <c r="AA40" s="56">
        <v>0</v>
      </c>
      <c r="AB40" s="56">
        <v>40.06334686279297</v>
      </c>
      <c r="AC40" s="56">
        <v>7.229684352874756</v>
      </c>
      <c r="AD40" s="44">
        <v>5.541507244110107</v>
      </c>
      <c r="AE40" s="56"/>
      <c r="AF40" s="56"/>
      <c r="AG40" s="56"/>
      <c r="AH40" s="56"/>
      <c r="AI40" s="56"/>
      <c r="AJ40" s="56"/>
      <c r="AK40" s="56"/>
      <c r="AL40" s="45"/>
      <c r="AM40" s="45"/>
      <c r="AN40" s="45"/>
      <c r="AO40" s="45"/>
    </row>
    <row r="41" spans="1:41" ht="15" customHeight="1">
      <c r="A41"/>
      <c r="B41" t="s">
        <v>470</v>
      </c>
      <c r="C41" s="45">
        <v>12.942351598173518</v>
      </c>
      <c r="D41" s="45">
        <v>178.51715153690031</v>
      </c>
      <c r="E41" s="45">
        <v>29.27</v>
      </c>
      <c r="F41" s="45">
        <v>-0.7</v>
      </c>
      <c r="G41" s="45">
        <v>0</v>
      </c>
      <c r="H41" s="45"/>
      <c r="I41" s="45">
        <v>0.4</v>
      </c>
      <c r="J41" s="45">
        <v>0.27799999713897705</v>
      </c>
      <c r="K41" s="45">
        <v>192.12908434158896</v>
      </c>
      <c r="L41" s="45">
        <v>0.015243117835980596</v>
      </c>
      <c r="M41" s="45">
        <v>0.054831359535455704</v>
      </c>
      <c r="N41" s="45">
        <v>39.21752931882894</v>
      </c>
      <c r="O41" s="45">
        <v>-8.864365577697754</v>
      </c>
      <c r="P41" s="45">
        <v>0</v>
      </c>
      <c r="Q41" s="45">
        <v>30.353164672851562</v>
      </c>
      <c r="R41" s="45">
        <v>12.40965268756147</v>
      </c>
      <c r="S41" s="45">
        <v>74.59190770234733</v>
      </c>
      <c r="T41" s="45">
        <v>0.5821653008460999</v>
      </c>
      <c r="U41" s="45">
        <v>8.847539901733398</v>
      </c>
      <c r="V41" s="45">
        <v>83.99521396584686</v>
      </c>
      <c r="W41" s="45">
        <v>29.265206244661183</v>
      </c>
      <c r="X41" s="44">
        <v>2.8701391428317717</v>
      </c>
      <c r="Y41" s="56">
        <v>13.960796356201172</v>
      </c>
      <c r="Z41" s="56">
        <v>0</v>
      </c>
      <c r="AA41" s="56">
        <v>0</v>
      </c>
      <c r="AB41" s="56">
        <v>97.95600891113281</v>
      </c>
      <c r="AC41" s="56">
        <v>30.353164672851562</v>
      </c>
      <c r="AD41" s="44">
        <v>3.2272090911865234</v>
      </c>
      <c r="AE41" s="56"/>
      <c r="AF41" s="56"/>
      <c r="AG41" s="56"/>
      <c r="AH41" s="56"/>
      <c r="AI41" s="56"/>
      <c r="AJ41" s="56"/>
      <c r="AK41" s="56"/>
      <c r="AL41" s="45"/>
      <c r="AM41" s="45"/>
      <c r="AN41" s="45"/>
      <c r="AO41" s="45"/>
    </row>
    <row r="42" spans="1:41" ht="15" customHeight="1">
      <c r="A42"/>
      <c r="B42" t="s">
        <v>458</v>
      </c>
      <c r="C42" s="45">
        <v>5.47945205479452</v>
      </c>
      <c r="D42" s="45">
        <v>342.6565252356765</v>
      </c>
      <c r="E42" s="45">
        <v>31.68</v>
      </c>
      <c r="F42" s="45">
        <v>-1.22</v>
      </c>
      <c r="G42" s="45">
        <v>0</v>
      </c>
      <c r="H42" s="45"/>
      <c r="I42" s="45">
        <v>0.4</v>
      </c>
      <c r="J42" s="45">
        <v>0.27799999713897705</v>
      </c>
      <c r="K42" s="45">
        <v>368.78408528489683</v>
      </c>
      <c r="L42" s="45">
        <v>0.029258554410417116</v>
      </c>
      <c r="M42" s="45">
        <v>0.10524659603834152</v>
      </c>
      <c r="N42" s="45">
        <v>75.39025655046527</v>
      </c>
      <c r="O42" s="45">
        <v>-15.489405632019043</v>
      </c>
      <c r="P42" s="45">
        <v>0</v>
      </c>
      <c r="Q42" s="45">
        <v>59.90085220336914</v>
      </c>
      <c r="R42" s="45">
        <v>12.75879313515025</v>
      </c>
      <c r="S42" s="45">
        <v>143.1761804618724</v>
      </c>
      <c r="T42" s="45">
        <v>1.1174429655075073</v>
      </c>
      <c r="U42" s="45">
        <v>16.982500076293945</v>
      </c>
      <c r="V42" s="45">
        <v>161.22545181883117</v>
      </c>
      <c r="W42" s="45">
        <v>31.67500675886866</v>
      </c>
      <c r="X42" s="44">
        <v>5.089989500118727</v>
      </c>
      <c r="Y42" s="56">
        <v>26.79719352722168</v>
      </c>
      <c r="Z42" s="56">
        <v>0</v>
      </c>
      <c r="AA42" s="56">
        <v>0</v>
      </c>
      <c r="AB42" s="56">
        <v>188.02264404296875</v>
      </c>
      <c r="AC42" s="56">
        <v>59.90085220336914</v>
      </c>
      <c r="AD42" s="44">
        <v>3.138897657394409</v>
      </c>
      <c r="AE42" s="56"/>
      <c r="AF42" s="56"/>
      <c r="AG42" s="56"/>
      <c r="AH42" s="56"/>
      <c r="AI42" s="56"/>
      <c r="AJ42" s="56"/>
      <c r="AK42" s="56"/>
      <c r="AL42" s="45"/>
      <c r="AM42" s="45"/>
      <c r="AN42" s="45"/>
      <c r="AO42" s="45"/>
    </row>
    <row r="43" spans="1:41" ht="15" customHeight="1">
      <c r="A43"/>
      <c r="B43" t="s">
        <v>468</v>
      </c>
      <c r="C43" s="45">
        <v>10.95890410958904</v>
      </c>
      <c r="D43" s="45">
        <v>53.036544000000006</v>
      </c>
      <c r="E43" s="45">
        <v>12</v>
      </c>
      <c r="F43" s="45">
        <v>-0.61</v>
      </c>
      <c r="G43" s="45">
        <v>0</v>
      </c>
      <c r="H43" s="45"/>
      <c r="I43" s="45">
        <v>0.4</v>
      </c>
      <c r="J43" s="45">
        <v>0.27799999713897705</v>
      </c>
      <c r="K43" s="45">
        <v>57.08058048</v>
      </c>
      <c r="L43" s="45">
        <v>0.004528653313393592</v>
      </c>
      <c r="M43" s="45">
        <v>0.016290120780467987</v>
      </c>
      <c r="N43" s="45">
        <v>18.210268817471565</v>
      </c>
      <c r="O43" s="45">
        <v>-7.74406623840332</v>
      </c>
      <c r="P43" s="45">
        <v>0</v>
      </c>
      <c r="Q43" s="45">
        <v>10.466202735900879</v>
      </c>
      <c r="R43" s="45">
        <v>14.402886845777658</v>
      </c>
      <c r="S43" s="45">
        <v>22.160879001487633</v>
      </c>
      <c r="T43" s="45">
        <v>0.1729583591222763</v>
      </c>
      <c r="U43" s="45">
        <v>2.6285595893859863</v>
      </c>
      <c r="V43" s="45">
        <v>24.954553969680436</v>
      </c>
      <c r="W43" s="45">
        <v>11.995002559514743</v>
      </c>
      <c r="X43" s="44">
        <v>2.0804125589690554</v>
      </c>
      <c r="Y43" s="56">
        <v>4.1476826667785645</v>
      </c>
      <c r="Z43" s="56">
        <v>0</v>
      </c>
      <c r="AA43" s="56">
        <v>0</v>
      </c>
      <c r="AB43" s="56">
        <v>30.63103675842285</v>
      </c>
      <c r="AC43" s="56">
        <v>10.466202735900879</v>
      </c>
      <c r="AD43" s="44">
        <v>2.926661968231201</v>
      </c>
      <c r="AE43" s="56"/>
      <c r="AF43" s="56"/>
      <c r="AG43" s="56"/>
      <c r="AH43" s="56"/>
      <c r="AI43" s="56"/>
      <c r="AJ43" s="56"/>
      <c r="AK43" s="56"/>
      <c r="AL43" s="45"/>
      <c r="AM43" s="45"/>
      <c r="AN43" s="45"/>
      <c r="AO43" s="45"/>
    </row>
    <row r="44" spans="1:41" ht="15" customHeight="1">
      <c r="A44"/>
      <c r="B44" t="s">
        <v>456</v>
      </c>
      <c r="C44" s="45">
        <v>7.305936073059359</v>
      </c>
      <c r="D44" s="45">
        <v>221.54516717823913</v>
      </c>
      <c r="E44" s="45">
        <v>25.63</v>
      </c>
      <c r="F44" s="45">
        <v>-0.91</v>
      </c>
      <c r="G44" s="45">
        <v>0</v>
      </c>
      <c r="H44" s="45"/>
      <c r="I44" s="45">
        <v>0.4</v>
      </c>
      <c r="J44" s="45">
        <v>0.27799999713897705</v>
      </c>
      <c r="K44" s="45">
        <v>238.43798617557985</v>
      </c>
      <c r="L44" s="45">
        <v>0.018917168799838655</v>
      </c>
      <c r="M44" s="45">
        <v>0.06804736703634262</v>
      </c>
      <c r="N44" s="45">
        <v>53.95633648550498</v>
      </c>
      <c r="O44" s="45">
        <v>-11.61673641204834</v>
      </c>
      <c r="P44" s="45">
        <v>0</v>
      </c>
      <c r="Q44" s="45">
        <v>42.339599609375</v>
      </c>
      <c r="R44" s="45">
        <v>13.948261863990288</v>
      </c>
      <c r="S44" s="45">
        <v>92.570806333107</v>
      </c>
      <c r="T44" s="45">
        <v>0.7224846482276917</v>
      </c>
      <c r="U44" s="45">
        <v>10.980064392089844</v>
      </c>
      <c r="V44" s="45">
        <v>104.24059353597153</v>
      </c>
      <c r="W44" s="45">
        <v>25.62500546790874</v>
      </c>
      <c r="X44" s="44">
        <v>4.067924733382647</v>
      </c>
      <c r="Y44" s="56">
        <v>17.325773239135742</v>
      </c>
      <c r="Z44" s="56">
        <v>0</v>
      </c>
      <c r="AA44" s="56">
        <v>0</v>
      </c>
      <c r="AB44" s="56">
        <v>121.56636810302734</v>
      </c>
      <c r="AC44" s="56">
        <v>42.339599609375</v>
      </c>
      <c r="AD44" s="44">
        <v>2.8712215423583984</v>
      </c>
      <c r="AE44" s="56"/>
      <c r="AF44" s="56"/>
      <c r="AG44" s="56"/>
      <c r="AH44" s="56"/>
      <c r="AI44" s="56"/>
      <c r="AJ44" s="56"/>
      <c r="AK44" s="56"/>
      <c r="AL44" s="45"/>
      <c r="AM44" s="45"/>
      <c r="AN44" s="45"/>
      <c r="AO44" s="45"/>
    </row>
    <row r="45" spans="1:41" ht="15" customHeight="1">
      <c r="A45"/>
      <c r="B45" t="s">
        <v>474</v>
      </c>
      <c r="C45" s="45">
        <v>9.294657926757466</v>
      </c>
      <c r="D45" s="45">
        <v>163.58265732921112</v>
      </c>
      <c r="E45" s="45">
        <v>26.66</v>
      </c>
      <c r="F45" s="45">
        <v>-0.72</v>
      </c>
      <c r="G45" s="45">
        <v>0</v>
      </c>
      <c r="H45" s="45"/>
      <c r="I45" s="45">
        <v>0.4</v>
      </c>
      <c r="J45" s="45">
        <v>0.27799999713897705</v>
      </c>
      <c r="K45" s="45">
        <v>176.05583495056348</v>
      </c>
      <c r="L45" s="45">
        <v>0.01396790000358358</v>
      </c>
      <c r="M45" s="45">
        <v>0.05024424567818642</v>
      </c>
      <c r="N45" s="45">
        <v>46.058991159141904</v>
      </c>
      <c r="O45" s="45">
        <v>-9.131709098815918</v>
      </c>
      <c r="P45" s="45">
        <v>0</v>
      </c>
      <c r="Q45" s="45">
        <v>36.92728042602539</v>
      </c>
      <c r="R45" s="45">
        <v>16.47576851377083</v>
      </c>
      <c r="S45" s="45">
        <v>68.35165345265443</v>
      </c>
      <c r="T45" s="45">
        <v>0.5334621667861938</v>
      </c>
      <c r="U45" s="45">
        <v>8.107367515563965</v>
      </c>
      <c r="V45" s="45">
        <v>76.96829269661644</v>
      </c>
      <c r="W45" s="45">
        <v>26.659005688545523</v>
      </c>
      <c r="X45" s="44">
        <v>2.887140413105772</v>
      </c>
      <c r="Y45" s="56">
        <v>12.792858123779297</v>
      </c>
      <c r="Z45" s="56">
        <v>0</v>
      </c>
      <c r="AA45" s="56">
        <v>0</v>
      </c>
      <c r="AB45" s="56">
        <v>89.76115417480469</v>
      </c>
      <c r="AC45" s="56">
        <v>36.92728042602539</v>
      </c>
      <c r="AD45" s="44">
        <v>2.4307544231414795</v>
      </c>
      <c r="AE45" s="56"/>
      <c r="AF45" s="56"/>
      <c r="AG45" s="56"/>
      <c r="AH45" s="56"/>
      <c r="AI45" s="56"/>
      <c r="AJ45" s="56"/>
      <c r="AK45" s="56"/>
      <c r="AL45" s="45"/>
      <c r="AM45" s="45"/>
      <c r="AN45" s="45"/>
      <c r="AO45" s="45"/>
    </row>
    <row r="46" spans="1:41" ht="15" customHeight="1">
      <c r="A46"/>
      <c r="B46" t="s">
        <v>486</v>
      </c>
      <c r="C46" s="45">
        <v>9.294657926757466</v>
      </c>
      <c r="D46" s="45">
        <v>969.9484113134216</v>
      </c>
      <c r="E46" s="45">
        <v>163.08</v>
      </c>
      <c r="F46" s="45">
        <v>-3.35</v>
      </c>
      <c r="G46" s="45">
        <v>0</v>
      </c>
      <c r="H46" s="45"/>
      <c r="I46" s="45">
        <v>0.4</v>
      </c>
      <c r="J46" s="45">
        <v>0.27799999713897705</v>
      </c>
      <c r="K46" s="45">
        <v>1043.90697767607</v>
      </c>
      <c r="L46" s="45">
        <v>0.0828213860751443</v>
      </c>
      <c r="M46" s="45">
        <v>0.2979186475276947</v>
      </c>
      <c r="N46" s="45">
        <v>281.7461263842254</v>
      </c>
      <c r="O46" s="45">
        <v>-42.594276428222656</v>
      </c>
      <c r="P46" s="45">
        <v>0</v>
      </c>
      <c r="Q46" s="45">
        <v>239.15185546875</v>
      </c>
      <c r="R46" s="45">
        <v>17.99536798453146</v>
      </c>
      <c r="S46" s="45">
        <v>405.2848801913236</v>
      </c>
      <c r="T46" s="45">
        <v>3.1631150245666504</v>
      </c>
      <c r="U46" s="45">
        <v>48.071895599365234</v>
      </c>
      <c r="V46" s="45">
        <v>456.3764559447556</v>
      </c>
      <c r="W46" s="45">
        <v>163.07503479723775</v>
      </c>
      <c r="X46" s="44">
        <v>2.7985672761756537</v>
      </c>
      <c r="Y46" s="56">
        <v>75.85406494140625</v>
      </c>
      <c r="Z46" s="56">
        <v>0</v>
      </c>
      <c r="AA46" s="56">
        <v>0</v>
      </c>
      <c r="AB46" s="56">
        <v>532.2305297851562</v>
      </c>
      <c r="AC46" s="56">
        <v>239.15185546875</v>
      </c>
      <c r="AD46" s="44">
        <v>2.225492000579834</v>
      </c>
      <c r="AE46" s="56"/>
      <c r="AF46" s="56"/>
      <c r="AG46" s="56"/>
      <c r="AH46" s="56"/>
      <c r="AI46" s="56"/>
      <c r="AJ46" s="56"/>
      <c r="AK46" s="56"/>
      <c r="AL46" s="45"/>
      <c r="AM46" s="45"/>
      <c r="AN46" s="45"/>
      <c r="AO46" s="45"/>
    </row>
    <row r="47" spans="1:41" ht="15" customHeight="1">
      <c r="A47"/>
      <c r="B47" t="s">
        <v>460</v>
      </c>
      <c r="C47" s="45">
        <v>10.95890410958904</v>
      </c>
      <c r="D47" s="45">
        <v>165.4203914930852</v>
      </c>
      <c r="E47" s="45">
        <v>33.28</v>
      </c>
      <c r="F47" s="45">
        <v>-0.61</v>
      </c>
      <c r="G47" s="45">
        <v>0</v>
      </c>
      <c r="H47" s="45"/>
      <c r="I47" s="45">
        <v>0.4</v>
      </c>
      <c r="J47" s="45">
        <v>0.27799999713897705</v>
      </c>
      <c r="K47" s="45">
        <v>178.03369634443294</v>
      </c>
      <c r="L47" s="45">
        <v>0.014124819370546193</v>
      </c>
      <c r="M47" s="45">
        <v>0.050808701664209366</v>
      </c>
      <c r="N47" s="45">
        <v>50.51660649448657</v>
      </c>
      <c r="O47" s="45">
        <v>-7.74406623840332</v>
      </c>
      <c r="P47" s="45">
        <v>0</v>
      </c>
      <c r="Q47" s="45">
        <v>42.77254104614258</v>
      </c>
      <c r="R47" s="45">
        <v>18.871726465670925</v>
      </c>
      <c r="S47" s="45">
        <v>69.11953539538652</v>
      </c>
      <c r="T47" s="45">
        <v>0.539455235004425</v>
      </c>
      <c r="U47" s="45">
        <v>8.198448181152344</v>
      </c>
      <c r="V47" s="45">
        <v>77.83297660858396</v>
      </c>
      <c r="W47" s="45">
        <v>33.275007100279545</v>
      </c>
      <c r="X47" s="44">
        <v>2.3390821938526374</v>
      </c>
      <c r="Y47" s="56">
        <v>12.936575889587402</v>
      </c>
      <c r="Z47" s="56">
        <v>0</v>
      </c>
      <c r="AA47" s="56">
        <v>0</v>
      </c>
      <c r="AB47" s="56">
        <v>90.7695541381836</v>
      </c>
      <c r="AC47" s="56">
        <v>42.77254104614258</v>
      </c>
      <c r="AD47" s="44">
        <v>2.122145414352417</v>
      </c>
      <c r="AE47" s="56"/>
      <c r="AF47" s="56"/>
      <c r="AG47" s="56"/>
      <c r="AH47" s="56"/>
      <c r="AI47" s="56"/>
      <c r="AJ47" s="56"/>
      <c r="AK47" s="56"/>
      <c r="AL47" s="45"/>
      <c r="AM47" s="45"/>
      <c r="AN47" s="45"/>
      <c r="AO47" s="45"/>
    </row>
    <row r="48" spans="1:41" ht="15" customHeight="1">
      <c r="A48"/>
      <c r="B48" t="s">
        <v>464</v>
      </c>
      <c r="C48" s="45">
        <v>21.91780821917808</v>
      </c>
      <c r="D48" s="45">
        <v>59.07871124753043</v>
      </c>
      <c r="E48" s="45">
        <v>22.88</v>
      </c>
      <c r="F48" s="45">
        <v>-0.3</v>
      </c>
      <c r="G48" s="45">
        <v>0</v>
      </c>
      <c r="H48" s="45"/>
      <c r="I48" s="45">
        <v>0.4</v>
      </c>
      <c r="J48" s="45">
        <v>0.27799999713897705</v>
      </c>
      <c r="K48" s="45">
        <v>63.58346298015462</v>
      </c>
      <c r="L48" s="45">
        <v>0.0050445783466236405</v>
      </c>
      <c r="M48" s="45">
        <v>0.018145965412259102</v>
      </c>
      <c r="N48" s="45">
        <v>21.6688300165746</v>
      </c>
      <c r="O48" s="45">
        <v>-3.872668981552124</v>
      </c>
      <c r="P48" s="45">
        <v>0</v>
      </c>
      <c r="Q48" s="45">
        <v>17.796161651611328</v>
      </c>
      <c r="R48" s="45">
        <v>21.985226606569842</v>
      </c>
      <c r="S48" s="45">
        <v>24.685548355495214</v>
      </c>
      <c r="T48" s="45">
        <v>0.1926625818014145</v>
      </c>
      <c r="U48" s="45">
        <v>2.9280171394348145</v>
      </c>
      <c r="V48" s="45">
        <v>27.797491577803278</v>
      </c>
      <c r="W48" s="45">
        <v>21.6688300165746</v>
      </c>
      <c r="X48" s="44">
        <v>1.2828330628160742</v>
      </c>
      <c r="Y48" s="56">
        <v>4.620204925537109</v>
      </c>
      <c r="Z48" s="56">
        <v>0</v>
      </c>
      <c r="AA48" s="56">
        <v>0</v>
      </c>
      <c r="AB48" s="56">
        <v>36.29036331176758</v>
      </c>
      <c r="AC48" s="56">
        <v>17.796161651611328</v>
      </c>
      <c r="AD48" s="44">
        <v>2.039224147796631</v>
      </c>
      <c r="AE48" s="56"/>
      <c r="AF48" s="56"/>
      <c r="AG48" s="56"/>
      <c r="AH48" s="56"/>
      <c r="AI48" s="56"/>
      <c r="AJ48" s="56"/>
      <c r="AK48" s="56"/>
      <c r="AL48" s="45"/>
      <c r="AM48" s="45"/>
      <c r="AN48" s="45"/>
      <c r="AO48" s="45"/>
    </row>
    <row r="49" spans="1:41" ht="15" customHeight="1">
      <c r="A49"/>
      <c r="B49" t="s">
        <v>462</v>
      </c>
      <c r="C49" s="45">
        <v>21.91780821917808</v>
      </c>
      <c r="D49" s="45">
        <v>60.0454537952173</v>
      </c>
      <c r="E49" s="45">
        <v>30.68</v>
      </c>
      <c r="F49" s="45">
        <v>-0.3</v>
      </c>
      <c r="G49" s="45">
        <v>0</v>
      </c>
      <c r="H49" s="45"/>
      <c r="I49" s="45">
        <v>0.4</v>
      </c>
      <c r="J49" s="45">
        <v>0.27799999713897705</v>
      </c>
      <c r="K49" s="45">
        <v>64.62391964710261</v>
      </c>
      <c r="L49" s="45">
        <v>0.005127125992295664</v>
      </c>
      <c r="M49" s="45">
        <v>0.018442898988723755</v>
      </c>
      <c r="N49" s="45">
        <v>29.05754582550495</v>
      </c>
      <c r="O49" s="45">
        <v>-3.872668981552124</v>
      </c>
      <c r="P49" s="45">
        <v>0</v>
      </c>
      <c r="Q49" s="45">
        <v>25.184877395629883</v>
      </c>
      <c r="R49" s="45">
        <v>30.6122539973021</v>
      </c>
      <c r="S49" s="45">
        <v>25.089493692221453</v>
      </c>
      <c r="T49" s="45">
        <v>0.19581523537635803</v>
      </c>
      <c r="U49" s="45">
        <v>2.9759302139282227</v>
      </c>
      <c r="V49" s="45">
        <v>28.252359688560848</v>
      </c>
      <c r="W49" s="45">
        <v>29.05754582550495</v>
      </c>
      <c r="X49" s="65">
        <v>0.9722899469287817</v>
      </c>
      <c r="Y49" s="56">
        <v>4.695809364318848</v>
      </c>
      <c r="Z49" s="56">
        <v>0</v>
      </c>
      <c r="AA49" s="56">
        <v>0</v>
      </c>
      <c r="AB49" s="56">
        <v>36.820838928222656</v>
      </c>
      <c r="AC49" s="56">
        <v>25.184877395629883</v>
      </c>
      <c r="AD49" s="44">
        <v>1.4620217084884644</v>
      </c>
      <c r="AE49" s="56"/>
      <c r="AF49" s="56"/>
      <c r="AG49" s="56"/>
      <c r="AH49" s="56"/>
      <c r="AI49" s="56"/>
      <c r="AJ49" s="56"/>
      <c r="AK49" s="56"/>
      <c r="AL49" s="45"/>
      <c r="AM49" s="45"/>
      <c r="AN49" s="45"/>
      <c r="AO49" s="45"/>
    </row>
    <row r="50" spans="1:41" ht="15" customHeight="1">
      <c r="A50"/>
      <c r="B50"/>
      <c r="C50" s="45"/>
      <c r="D50" s="45"/>
      <c r="E50" s="45"/>
      <c r="F50" s="45"/>
      <c r="G50" s="45"/>
      <c r="H50" s="45"/>
      <c r="I50" s="45"/>
      <c r="J50" s="45"/>
      <c r="K50" s="45"/>
      <c r="L50" s="45"/>
      <c r="M50" s="45"/>
      <c r="N50" s="45"/>
      <c r="O50" s="45"/>
      <c r="P50" s="45"/>
      <c r="Q50" s="45"/>
      <c r="R50" s="45"/>
      <c r="S50" s="45"/>
      <c r="T50" s="45"/>
      <c r="U50" s="45"/>
      <c r="V50" s="45"/>
      <c r="W50" s="45"/>
      <c r="X50" s="56"/>
      <c r="Y50" s="56"/>
      <c r="Z50" s="56"/>
      <c r="AA50" s="56"/>
      <c r="AB50" s="56"/>
      <c r="AC50" s="56"/>
      <c r="AD50" s="56"/>
      <c r="AE50" s="56"/>
      <c r="AF50" s="56"/>
      <c r="AG50" s="56"/>
      <c r="AH50" s="56"/>
      <c r="AI50" s="56"/>
      <c r="AJ50" s="56"/>
      <c r="AK50" s="56"/>
      <c r="AL50" s="45"/>
      <c r="AM50" s="45"/>
      <c r="AN50" s="45"/>
      <c r="AO50" s="45"/>
    </row>
    <row r="51" spans="1:41" ht="15" customHeight="1" thickBot="1">
      <c r="A51"/>
      <c r="B51"/>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row>
    <row r="52" spans="1:41" ht="15" customHeight="1" thickBot="1">
      <c r="A52" s="61" t="s">
        <v>62</v>
      </c>
      <c r="B52" s="62"/>
      <c r="C52" s="63"/>
      <c r="D52" s="63"/>
      <c r="E52" s="63"/>
      <c r="F52" s="63"/>
      <c r="G52" s="63"/>
      <c r="H52" s="63"/>
      <c r="I52" s="63"/>
      <c r="J52" s="63"/>
      <c r="K52" s="64"/>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row>
    <row r="53" spans="1:41" ht="25.5">
      <c r="A53" s="53"/>
      <c r="B53" s="54" t="s">
        <v>63</v>
      </c>
      <c r="C53" s="55" t="s">
        <v>59</v>
      </c>
      <c r="D53" s="55" t="s">
        <v>60</v>
      </c>
      <c r="E53" s="55" t="s">
        <v>64</v>
      </c>
      <c r="F53" s="55" t="s">
        <v>65</v>
      </c>
      <c r="G53" s="55" t="s">
        <v>66</v>
      </c>
      <c r="H53" s="55" t="s">
        <v>67</v>
      </c>
      <c r="I53" s="55" t="s">
        <v>61</v>
      </c>
      <c r="J53" s="55" t="s">
        <v>50</v>
      </c>
      <c r="K53" s="55" t="s">
        <v>58</v>
      </c>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row>
    <row r="54" spans="1:41" ht="15" customHeight="1">
      <c r="A54"/>
      <c r="B54" t="s">
        <v>68</v>
      </c>
      <c r="C54" s="45">
        <v>2488.5454734812865</v>
      </c>
      <c r="D54" s="45">
        <v>488.001654139524</v>
      </c>
      <c r="E54" s="45">
        <v>361.38</v>
      </c>
      <c r="F54" s="45">
        <v>72.27564000000001</v>
      </c>
      <c r="G54" s="45">
        <v>560.277294139524</v>
      </c>
      <c r="H54" s="45">
        <v>1972.248046875</v>
      </c>
      <c r="I54" s="45">
        <v>17.685046745582206</v>
      </c>
      <c r="J54" s="45">
        <v>966.1491642826146</v>
      </c>
      <c r="K54" s="44">
        <v>1.7244124907228844</v>
      </c>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row>
    <row r="55" spans="1:41" ht="15" customHeight="1">
      <c r="A55"/>
      <c r="B55" t="s">
        <v>69</v>
      </c>
      <c r="C55" s="45">
        <v>0</v>
      </c>
      <c r="D55" s="45">
        <v>0</v>
      </c>
      <c r="E55" s="45">
        <v>0</v>
      </c>
      <c r="F55" s="45">
        <v>0</v>
      </c>
      <c r="G55" s="45">
        <v>0</v>
      </c>
      <c r="H55" s="45">
        <v>0</v>
      </c>
      <c r="I55" s="45">
        <v>0</v>
      </c>
      <c r="J55" s="45">
        <v>991.2386579748362</v>
      </c>
      <c r="K55" s="65">
        <v>0</v>
      </c>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row>
    <row r="56" spans="1:41" ht="15" customHeight="1">
      <c r="A56"/>
      <c r="B56" t="s">
        <v>70</v>
      </c>
      <c r="C56" s="45">
        <v>2512.473212385843</v>
      </c>
      <c r="D56" s="45">
        <v>506.6680603027344</v>
      </c>
      <c r="E56" s="45">
        <v>383.8184365245255</v>
      </c>
      <c r="F56" s="45">
        <v>76.7636873049051</v>
      </c>
      <c r="G56" s="45">
        <v>583.4317476076395</v>
      </c>
      <c r="H56" s="45">
        <v>2034.1956787109375</v>
      </c>
      <c r="I56" s="45">
        <v>18.2405272744648</v>
      </c>
      <c r="J56" s="45">
        <v>975.438833767123</v>
      </c>
      <c r="K56" s="44">
        <v>1.6718987915328702</v>
      </c>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row>
    <row r="57" spans="1:41" ht="15" customHeight="1">
      <c r="A57"/>
      <c r="B57" t="s">
        <v>71</v>
      </c>
      <c r="C57" s="45">
        <v>170.533765248</v>
      </c>
      <c r="D57" s="45">
        <v>8.294003519987207</v>
      </c>
      <c r="E57" s="45">
        <v>16.93</v>
      </c>
      <c r="F57" s="45">
        <v>3.3868</v>
      </c>
      <c r="G57" s="45">
        <v>11.680803519987208</v>
      </c>
      <c r="H57" s="45">
        <v>600.02099609375</v>
      </c>
      <c r="I57" s="45">
        <v>5.3803571890166975</v>
      </c>
      <c r="J57" s="45">
        <v>66.20777338894055</v>
      </c>
      <c r="K57" s="44">
        <v>5.668083815950793</v>
      </c>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row>
    <row r="58" spans="1:41" ht="15" customHeight="1">
      <c r="A58"/>
      <c r="B58" t="s">
        <v>72</v>
      </c>
      <c r="C58" s="45">
        <v>1032.487571232629</v>
      </c>
      <c r="D58" s="45">
        <v>179.98709937242825</v>
      </c>
      <c r="E58" s="45">
        <v>125.22</v>
      </c>
      <c r="F58" s="45">
        <v>25.043840000000003</v>
      </c>
      <c r="G58" s="45">
        <v>205.03093937242824</v>
      </c>
      <c r="H58" s="45">
        <v>1739.5570068359375</v>
      </c>
      <c r="I58" s="45">
        <v>15.598518042884988</v>
      </c>
      <c r="J58" s="45">
        <v>400.8514269514688</v>
      </c>
      <c r="K58" s="234">
        <v>1.9550777466972564</v>
      </c>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row>
    <row r="59" spans="1:41" ht="15" customHeight="1">
      <c r="A59"/>
      <c r="B59" t="s">
        <v>73</v>
      </c>
      <c r="C59" s="45">
        <v>1285.5241370006577</v>
      </c>
      <c r="D59" s="45">
        <v>299.72055124710846</v>
      </c>
      <c r="E59" s="45">
        <v>219.23</v>
      </c>
      <c r="F59" s="45">
        <v>43.845</v>
      </c>
      <c r="G59" s="45">
        <v>343.5655512471085</v>
      </c>
      <c r="H59" s="45">
        <v>2341.1728515625</v>
      </c>
      <c r="I59" s="45">
        <v>20.99317599064335</v>
      </c>
      <c r="J59" s="45">
        <v>499.0899639422054</v>
      </c>
      <c r="K59" s="234">
        <v>1.452677552014627</v>
      </c>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row>
    <row r="60" spans="1:41" ht="15" customHeight="1">
      <c r="A60"/>
      <c r="B60" t="s">
        <v>74</v>
      </c>
      <c r="C60" s="45">
        <v>64.62391964710261</v>
      </c>
      <c r="D60" s="45">
        <v>25.184876843952825</v>
      </c>
      <c r="E60" s="45">
        <v>30.68</v>
      </c>
      <c r="F60" s="45">
        <v>6.135</v>
      </c>
      <c r="G60" s="45">
        <v>31.319876843952827</v>
      </c>
      <c r="H60" s="45">
        <v>4245.51953125</v>
      </c>
      <c r="I60" s="45">
        <v>38.069355148957264</v>
      </c>
      <c r="J60" s="45">
        <v>25.089493692221453</v>
      </c>
      <c r="K60" s="66">
        <v>0.8010725526548703</v>
      </c>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row>
    <row r="61" spans="1:41" ht="15" customHeight="1">
      <c r="A61"/>
      <c r="B61" t="s">
        <v>75</v>
      </c>
      <c r="C61" s="45">
        <v>0</v>
      </c>
      <c r="D61" s="45">
        <v>0</v>
      </c>
      <c r="E61" s="45">
        <v>0</v>
      </c>
      <c r="F61" s="45">
        <v>0</v>
      </c>
      <c r="G61" s="45">
        <v>0</v>
      </c>
      <c r="H61" s="45">
        <v>0</v>
      </c>
      <c r="I61" s="45">
        <v>0</v>
      </c>
      <c r="J61" s="45">
        <v>0</v>
      </c>
      <c r="K61" s="66">
        <v>0</v>
      </c>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row>
    <row r="62" spans="1:41" ht="15" customHeight="1">
      <c r="A62"/>
      <c r="B62" t="s">
        <v>76</v>
      </c>
      <c r="C62" s="45">
        <v>0</v>
      </c>
      <c r="D62" s="45">
        <v>0</v>
      </c>
      <c r="E62" s="45">
        <v>0</v>
      </c>
      <c r="F62" s="45">
        <v>0</v>
      </c>
      <c r="G62" s="45">
        <v>0</v>
      </c>
      <c r="H62" s="45">
        <v>0</v>
      </c>
      <c r="I62" s="45">
        <v>0</v>
      </c>
      <c r="J62" s="45">
        <v>0</v>
      </c>
      <c r="K62" s="66">
        <v>0</v>
      </c>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row>
    <row r="63" spans="1:41" ht="15" customHeight="1">
      <c r="A63"/>
      <c r="B63" t="s">
        <v>77</v>
      </c>
      <c r="C63" s="45">
        <v>0</v>
      </c>
      <c r="D63" s="45">
        <v>0</v>
      </c>
      <c r="E63" s="45">
        <v>0</v>
      </c>
      <c r="F63" s="45">
        <v>0</v>
      </c>
      <c r="G63" s="45">
        <v>0</v>
      </c>
      <c r="H63" s="45">
        <v>0</v>
      </c>
      <c r="I63" s="45">
        <v>0</v>
      </c>
      <c r="J63" s="45">
        <v>0</v>
      </c>
      <c r="K63" s="66">
        <v>0</v>
      </c>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row>
    <row r="64" spans="1:41" ht="15" customHeight="1">
      <c r="A64"/>
      <c r="B64"/>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row>
    <row r="65" spans="1:41" ht="15" customHeight="1">
      <c r="A65"/>
      <c r="B6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row>
    <row r="66" spans="1:41" ht="15" customHeight="1">
      <c r="A66"/>
      <c r="B66"/>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row>
    <row r="67" spans="1:41" ht="15" customHeight="1">
      <c r="A67"/>
      <c r="B67"/>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row>
    <row r="68" spans="1:41" ht="15" customHeight="1">
      <c r="A68"/>
      <c r="B68"/>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row>
    <row r="69" spans="1:41" ht="15" customHeight="1">
      <c r="A69"/>
      <c r="B69"/>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row>
    <row r="70" spans="1:41" ht="15" customHeight="1">
      <c r="A70"/>
      <c r="B70"/>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row>
    <row r="71" spans="1:41" ht="15" customHeight="1">
      <c r="A71"/>
      <c r="B71"/>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row>
    <row r="72" spans="1:41" ht="15" customHeight="1">
      <c r="A72"/>
      <c r="B72"/>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row>
    <row r="73" spans="1:41" ht="15" customHeight="1">
      <c r="A73"/>
      <c r="B73"/>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row>
    <row r="74" spans="1:41" ht="15" customHeight="1">
      <c r="A74"/>
      <c r="B74"/>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row>
    <row r="75" spans="1:41" ht="15" customHeight="1">
      <c r="A75"/>
      <c r="B7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row>
    <row r="76" spans="1:41" ht="15" customHeight="1">
      <c r="A76"/>
      <c r="B76"/>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row>
    <row r="77" spans="1:41" ht="15" customHeight="1">
      <c r="A77"/>
      <c r="B77"/>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row>
    <row r="78" spans="1:41" ht="15" customHeight="1">
      <c r="A78"/>
      <c r="B78"/>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row>
    <row r="79" spans="1:41" ht="15" customHeight="1">
      <c r="A79"/>
      <c r="B79"/>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row>
    <row r="80" spans="1:41" ht="15" customHeight="1">
      <c r="A80"/>
      <c r="B80"/>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row>
    <row r="81" spans="1:41" ht="15" customHeight="1">
      <c r="A81"/>
      <c r="B81"/>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row>
    <row r="82" spans="1:41" ht="15" customHeight="1">
      <c r="A82"/>
      <c r="B82"/>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row>
    <row r="83" spans="1:41" ht="15" customHeight="1">
      <c r="A83"/>
      <c r="B83"/>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row>
    <row r="84" spans="1:41" ht="15" customHeight="1">
      <c r="A84"/>
      <c r="B84"/>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row>
    <row r="85" spans="1:41" ht="15" customHeight="1">
      <c r="A85"/>
      <c r="B8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row>
    <row r="86" spans="1:41" ht="15" customHeight="1">
      <c r="A86"/>
      <c r="B86"/>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row>
    <row r="87" spans="1:41" ht="15" customHeight="1">
      <c r="A87"/>
      <c r="B87"/>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row>
    <row r="88" spans="1:41" ht="15" customHeight="1">
      <c r="A88"/>
      <c r="B88"/>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row>
    <row r="89" spans="1:41" ht="15" customHeight="1">
      <c r="A89"/>
      <c r="B89"/>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row>
    <row r="90" spans="1:41" ht="15" customHeight="1">
      <c r="A90"/>
      <c r="B90"/>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row>
    <row r="91" spans="1:41" ht="15" customHeight="1">
      <c r="A91"/>
      <c r="B91"/>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row>
    <row r="92" spans="1:41" ht="15" customHeight="1">
      <c r="A92"/>
      <c r="B92"/>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row>
    <row r="93" spans="1:41" ht="15" customHeight="1">
      <c r="A93"/>
      <c r="B93"/>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row>
    <row r="94" spans="1:41" ht="15" customHeight="1">
      <c r="A94"/>
      <c r="B94"/>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row>
    <row r="95" spans="1:41" ht="15" customHeight="1">
      <c r="A95"/>
      <c r="B9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row>
    <row r="96" spans="1:41" ht="15" customHeight="1">
      <c r="A96"/>
      <c r="B96"/>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row>
    <row r="97" spans="1:41" ht="15" customHeight="1">
      <c r="A97"/>
      <c r="B97"/>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row>
    <row r="98" spans="1:41" ht="15" customHeight="1">
      <c r="A98"/>
      <c r="B98"/>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row>
    <row r="99" spans="1:41" ht="15" customHeight="1">
      <c r="A99"/>
      <c r="B99"/>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row>
    <row r="100" spans="1:41" ht="15" customHeight="1">
      <c r="A100"/>
      <c r="B100"/>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row>
    <row r="101" spans="1:41" ht="15" customHeight="1">
      <c r="A101"/>
      <c r="B101"/>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row>
    <row r="102" spans="1:41" ht="15" customHeight="1">
      <c r="A102"/>
      <c r="B102"/>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row>
    <row r="103" spans="1:41" ht="15" customHeight="1">
      <c r="A103"/>
      <c r="B103"/>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row>
    <row r="104" spans="1:41" ht="15" customHeight="1">
      <c r="A104"/>
      <c r="B104"/>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row>
    <row r="105" spans="1:41" ht="15" customHeight="1">
      <c r="A105"/>
      <c r="B10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row>
    <row r="106" spans="1:41" ht="15" customHeight="1">
      <c r="A106"/>
      <c r="B106"/>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row>
    <row r="107" spans="1:41" ht="15" customHeight="1">
      <c r="A107"/>
      <c r="B107"/>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row>
    <row r="108" spans="1:41" ht="15" customHeight="1">
      <c r="A108"/>
      <c r="B108"/>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row>
    <row r="109" spans="1:41" ht="15" customHeight="1">
      <c r="A109"/>
      <c r="B109"/>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row>
    <row r="110" spans="1:41" ht="15" customHeight="1">
      <c r="A110"/>
      <c r="B110"/>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row>
    <row r="111" spans="1:41" ht="15" customHeight="1">
      <c r="A111"/>
      <c r="B111"/>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row>
    <row r="112" spans="1:41" ht="15" customHeight="1">
      <c r="A112"/>
      <c r="B112"/>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row>
    <row r="113" spans="1:41" ht="15" customHeight="1">
      <c r="A113"/>
      <c r="B113"/>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row>
    <row r="114" spans="1:41" ht="15" customHeight="1">
      <c r="A114"/>
      <c r="B114"/>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row>
    <row r="115" spans="1:41" ht="15" customHeight="1">
      <c r="A115"/>
      <c r="B11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row>
    <row r="116" spans="1:41" ht="15" customHeight="1">
      <c r="A116"/>
      <c r="B116"/>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row>
    <row r="117" spans="1:41" ht="15" customHeight="1">
      <c r="A117"/>
      <c r="B117"/>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row>
    <row r="118" spans="1:41" ht="15" customHeight="1">
      <c r="A118"/>
      <c r="B118"/>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row>
    <row r="119" spans="1:41" ht="15" customHeight="1">
      <c r="A119"/>
      <c r="B119"/>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row>
    <row r="120" spans="1:41" ht="15" customHeight="1">
      <c r="A120"/>
      <c r="B120"/>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row>
    <row r="121" spans="1:41" ht="15" customHeight="1">
      <c r="A121"/>
      <c r="B121"/>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row>
    <row r="122" spans="1:41" ht="15" customHeight="1">
      <c r="A122"/>
      <c r="B122"/>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row>
    <row r="123" spans="1:41" ht="15" customHeight="1">
      <c r="A123"/>
      <c r="B123"/>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row>
    <row r="124" spans="1:41" ht="15" customHeight="1">
      <c r="A124"/>
      <c r="B124"/>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row>
    <row r="125" spans="1:41" ht="15" customHeight="1">
      <c r="A125"/>
      <c r="B12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row>
    <row r="126" spans="1:41" ht="15" customHeight="1">
      <c r="A126"/>
      <c r="B126"/>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row>
    <row r="127" spans="1:41" ht="15" customHeight="1">
      <c r="A127"/>
      <c r="B127"/>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row>
    <row r="128" spans="1:41" ht="15" customHeight="1">
      <c r="A128"/>
      <c r="B128"/>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row>
    <row r="129" spans="1:41" ht="15" customHeight="1">
      <c r="A129"/>
      <c r="B129"/>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row>
    <row r="130" spans="1:41" ht="15" customHeight="1">
      <c r="A130"/>
      <c r="B130"/>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row>
    <row r="131" spans="1:41" ht="15" customHeight="1">
      <c r="A131"/>
      <c r="B131"/>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row>
    <row r="132" spans="1:41" ht="15" customHeight="1">
      <c r="A132"/>
      <c r="B132"/>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row>
    <row r="133" spans="1:41" ht="15" customHeight="1">
      <c r="A133"/>
      <c r="B133"/>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row>
    <row r="134" spans="1:41" ht="15" customHeight="1">
      <c r="A134"/>
      <c r="B134"/>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row>
    <row r="135" spans="1:41" ht="15" customHeight="1">
      <c r="A135"/>
      <c r="B13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row>
    <row r="136" spans="1:41" ht="15" customHeight="1">
      <c r="A136"/>
      <c r="B136"/>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row>
    <row r="137" spans="1:41" ht="15" customHeight="1">
      <c r="A137"/>
      <c r="B137"/>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row>
    <row r="138" spans="1:41" ht="15" customHeight="1">
      <c r="A138"/>
      <c r="B138"/>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row>
    <row r="139" spans="1:41" ht="15" customHeight="1">
      <c r="A139"/>
      <c r="B139"/>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row>
    <row r="140" spans="1:41" ht="15" customHeight="1">
      <c r="A140"/>
      <c r="B140"/>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row>
    <row r="141" spans="1:41" ht="15" customHeight="1">
      <c r="A141"/>
      <c r="B141"/>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row>
    <row r="142" spans="1:41" ht="15" customHeight="1">
      <c r="A142"/>
      <c r="B142"/>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row>
    <row r="143" spans="1:41" ht="15" customHeight="1">
      <c r="A143"/>
      <c r="B143"/>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row>
    <row r="144" spans="1:41" ht="15" customHeight="1">
      <c r="A144"/>
      <c r="B144"/>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row>
    <row r="145" spans="1:41" ht="15" customHeight="1">
      <c r="A145"/>
      <c r="B1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row>
    <row r="146" spans="1:41" ht="15" customHeight="1">
      <c r="A146"/>
      <c r="B146"/>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row>
    <row r="147" spans="1:41" ht="15" customHeight="1">
      <c r="A147"/>
      <c r="B147"/>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row>
    <row r="148" spans="1:41" ht="15" customHeight="1">
      <c r="A148"/>
      <c r="B148"/>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row>
    <row r="149" spans="1:41" ht="15" customHeight="1">
      <c r="A149"/>
      <c r="B149"/>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row>
    <row r="150" spans="1:41" ht="15" customHeight="1">
      <c r="A150"/>
      <c r="B150"/>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row>
    <row r="151" spans="1:41" ht="15" customHeight="1">
      <c r="A151"/>
      <c r="B151"/>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row>
    <row r="152" spans="1:41" ht="15" customHeight="1">
      <c r="A152"/>
      <c r="B152"/>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row>
    <row r="153" spans="1:41" ht="15" customHeight="1">
      <c r="A153"/>
      <c r="B153"/>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row>
    <row r="154" spans="1:41" ht="15" customHeight="1">
      <c r="A154"/>
      <c r="B154"/>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row>
    <row r="155" spans="1:41" ht="15" customHeight="1">
      <c r="A155"/>
      <c r="B15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row>
    <row r="156" spans="1:41" ht="15" customHeight="1">
      <c r="A156"/>
      <c r="B156"/>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row>
    <row r="157" spans="1:41" ht="15" customHeight="1">
      <c r="A157"/>
      <c r="B157"/>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row>
    <row r="158" spans="1:41" ht="15" customHeight="1">
      <c r="A158"/>
      <c r="B158"/>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row>
    <row r="159" spans="1:41" ht="15" customHeight="1">
      <c r="A159"/>
      <c r="B159"/>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row>
    <row r="160" spans="1:41" ht="15" customHeight="1">
      <c r="A160"/>
      <c r="B160"/>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row>
    <row r="161" spans="1:41" ht="15" customHeight="1">
      <c r="A161"/>
      <c r="B161"/>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row>
    <row r="162" spans="1:41" ht="15" customHeight="1">
      <c r="A162"/>
      <c r="B162"/>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row>
    <row r="163" spans="1:41" ht="15" customHeight="1">
      <c r="A163"/>
      <c r="B163"/>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row>
    <row r="164" spans="1:41" ht="15" customHeight="1">
      <c r="A164"/>
      <c r="B164"/>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row>
    <row r="165" spans="1:41" ht="15" customHeight="1">
      <c r="A165"/>
      <c r="B16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row>
    <row r="166" spans="1:41" ht="15" customHeight="1">
      <c r="A166"/>
      <c r="B166"/>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row>
    <row r="167" spans="1:41" ht="15" customHeight="1">
      <c r="A167"/>
      <c r="B167"/>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row>
    <row r="168" spans="1:41" ht="15" customHeight="1">
      <c r="A168"/>
      <c r="B168"/>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row>
    <row r="169" spans="1:41" ht="15" customHeight="1">
      <c r="A169"/>
      <c r="B169"/>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row>
    <row r="170" spans="1:41" ht="15" customHeight="1">
      <c r="A170"/>
      <c r="B170"/>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row>
    <row r="171" spans="1:41" ht="15" customHeight="1">
      <c r="A171"/>
      <c r="B171"/>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row>
    <row r="172" spans="1:41" ht="15" customHeight="1">
      <c r="A172"/>
      <c r="B172"/>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row>
    <row r="173" spans="1:41" ht="15" customHeight="1">
      <c r="A173"/>
      <c r="B173"/>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row>
    <row r="174" spans="1:41" ht="15" customHeight="1">
      <c r="A174"/>
      <c r="B174"/>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row>
    <row r="175" spans="1:41" ht="15" customHeight="1">
      <c r="A175"/>
      <c r="B17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row>
    <row r="176" spans="1:41" ht="15" customHeight="1">
      <c r="A176"/>
      <c r="B176"/>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row>
    <row r="177" spans="1:41" ht="15" customHeight="1">
      <c r="A177"/>
      <c r="B177"/>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row>
    <row r="178" spans="1:41" ht="15" customHeight="1">
      <c r="A178"/>
      <c r="B178"/>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row>
    <row r="179" spans="1:41" ht="15" customHeight="1">
      <c r="A179"/>
      <c r="B179"/>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row>
    <row r="180" spans="1:41" ht="15" customHeight="1">
      <c r="A180"/>
      <c r="B180"/>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row>
    <row r="181" spans="1:41" ht="15" customHeight="1">
      <c r="A181"/>
      <c r="B181"/>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row>
    <row r="182" spans="1:41" ht="15" customHeight="1">
      <c r="A182"/>
      <c r="B182"/>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row>
    <row r="183" spans="1:41" ht="15" customHeight="1">
      <c r="A183"/>
      <c r="B183"/>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row>
    <row r="184" spans="1:41" ht="15" customHeight="1">
      <c r="A184"/>
      <c r="B184"/>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row>
    <row r="185" spans="1:41" ht="15" customHeight="1">
      <c r="A185"/>
      <c r="B18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row>
    <row r="186" spans="1:41" ht="15" customHeight="1">
      <c r="A186"/>
      <c r="B186"/>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row>
    <row r="187" spans="1:41" ht="15" customHeight="1">
      <c r="A187"/>
      <c r="B187"/>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row>
    <row r="188" spans="1:41" ht="15" customHeight="1">
      <c r="A188"/>
      <c r="B188"/>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row>
    <row r="189" spans="1:41" ht="15" customHeight="1">
      <c r="A189"/>
      <c r="B189"/>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row>
    <row r="190" spans="1:41" ht="15" customHeight="1">
      <c r="A190"/>
      <c r="B190"/>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row>
    <row r="191" spans="1:41" ht="15" customHeight="1">
      <c r="A191"/>
      <c r="B191"/>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row>
    <row r="192" spans="1:41" ht="15" customHeight="1">
      <c r="A192"/>
      <c r="B192"/>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row>
    <row r="193" spans="1:41" ht="15" customHeight="1">
      <c r="A193"/>
      <c r="B193"/>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row>
    <row r="194" spans="1:41" ht="15" customHeight="1">
      <c r="A194"/>
      <c r="B194"/>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row>
    <row r="195" spans="1:41" ht="15" customHeight="1">
      <c r="A195"/>
      <c r="B19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row>
    <row r="196" spans="1:41" ht="15" customHeight="1">
      <c r="A196"/>
      <c r="B196"/>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row>
    <row r="197" spans="1:41" ht="15" customHeight="1">
      <c r="A197"/>
      <c r="B197"/>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row>
    <row r="198" spans="1:41" ht="15" customHeight="1">
      <c r="A198"/>
      <c r="B198"/>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row>
    <row r="199" spans="1:41" ht="15" customHeight="1">
      <c r="A199"/>
      <c r="B199"/>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row>
    <row r="200" spans="1:41" ht="15" customHeight="1">
      <c r="A200"/>
      <c r="B200"/>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row>
    <row r="201" spans="1:41" ht="15" customHeight="1">
      <c r="A201"/>
      <c r="B201"/>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row>
    <row r="202" spans="1:41" ht="15" customHeight="1">
      <c r="A202"/>
      <c r="B202"/>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row>
    <row r="203" spans="1:41" ht="15" customHeight="1">
      <c r="A203"/>
      <c r="B203"/>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row>
    <row r="204" spans="1:41" ht="15" customHeight="1">
      <c r="A204"/>
      <c r="B204"/>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row>
    <row r="205" spans="1:41" ht="15" customHeight="1">
      <c r="A205"/>
      <c r="B20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row>
    <row r="206" spans="1:41" ht="15" customHeight="1">
      <c r="A206"/>
      <c r="B206"/>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row>
    <row r="207" spans="1:41" ht="15" customHeight="1">
      <c r="A207"/>
      <c r="B207"/>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row>
    <row r="208" spans="1:41" ht="15" customHeight="1">
      <c r="A208"/>
      <c r="B208"/>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row>
    <row r="209" spans="1:41" ht="15" customHeight="1">
      <c r="A209"/>
      <c r="B209"/>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row>
    <row r="210" spans="1:41" ht="15" customHeight="1">
      <c r="A210"/>
      <c r="B210"/>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row>
    <row r="211" spans="1:41" ht="15" customHeight="1">
      <c r="A211"/>
      <c r="B211"/>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row>
    <row r="212" spans="1:41" ht="15" customHeight="1">
      <c r="A212"/>
      <c r="B212"/>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row>
    <row r="213" spans="1:41" ht="15" customHeight="1">
      <c r="A213"/>
      <c r="B213"/>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row>
    <row r="214" spans="1:41" ht="15" customHeight="1">
      <c r="A214"/>
      <c r="B214"/>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row>
    <row r="215" spans="1:41" ht="15" customHeight="1">
      <c r="A215"/>
      <c r="B21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row>
    <row r="216" spans="1:41" ht="15" customHeight="1">
      <c r="A216"/>
      <c r="B216"/>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row>
    <row r="217" spans="1:41" ht="15" customHeight="1">
      <c r="A217"/>
      <c r="B217"/>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row>
    <row r="218" spans="1:41" ht="15" customHeight="1">
      <c r="A218"/>
      <c r="B218"/>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row>
    <row r="219" spans="1:41" ht="15" customHeight="1">
      <c r="A219"/>
      <c r="B219"/>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row>
    <row r="220" spans="1:41" ht="15" customHeight="1">
      <c r="A220"/>
      <c r="B220"/>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row>
    <row r="221" spans="1:41" ht="15" customHeight="1">
      <c r="A221"/>
      <c r="B221"/>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row>
    <row r="222" spans="1:41" ht="15" customHeight="1">
      <c r="A222"/>
      <c r="B222"/>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row>
    <row r="223" spans="1:41" ht="15" customHeight="1">
      <c r="A223"/>
      <c r="B223"/>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row>
    <row r="224" spans="1:41" ht="15" customHeight="1">
      <c r="A224"/>
      <c r="B224"/>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row>
    <row r="225" spans="1:41" ht="15" customHeight="1">
      <c r="A225"/>
      <c r="B22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row>
    <row r="226" spans="1:41" ht="15" customHeight="1">
      <c r="A226"/>
      <c r="B226"/>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row>
    <row r="227" spans="1:41" ht="15" customHeight="1">
      <c r="A227"/>
      <c r="B227"/>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row>
    <row r="228" spans="1:41" ht="15" customHeight="1">
      <c r="A228"/>
      <c r="B228"/>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row>
    <row r="229" spans="1:41" ht="15" customHeight="1">
      <c r="A229"/>
      <c r="B229"/>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row>
    <row r="230" spans="1:41" ht="15" customHeight="1">
      <c r="A230"/>
      <c r="B230"/>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row>
    <row r="231" spans="1:41" ht="15" customHeight="1">
      <c r="A231"/>
      <c r="B231"/>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row>
    <row r="232" spans="1:41" ht="15" customHeight="1">
      <c r="A232"/>
      <c r="B232"/>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row>
    <row r="233" spans="1:41" ht="15" customHeight="1">
      <c r="A233"/>
      <c r="B233"/>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row>
    <row r="234" spans="1:41" ht="15" customHeight="1">
      <c r="A234"/>
      <c r="B234"/>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row>
    <row r="235" spans="1:41" ht="15" customHeight="1">
      <c r="A235"/>
      <c r="B23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row>
    <row r="236" spans="1:41" ht="15" customHeight="1">
      <c r="A236"/>
      <c r="B236"/>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row>
    <row r="237" spans="1:41" ht="15" customHeight="1">
      <c r="A237"/>
      <c r="B237"/>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row>
    <row r="238" spans="1:41" ht="15" customHeight="1">
      <c r="A238"/>
      <c r="B238"/>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row>
    <row r="239" spans="1:41" ht="15" customHeight="1">
      <c r="A239"/>
      <c r="B239"/>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row>
    <row r="240" spans="1:41" ht="15" customHeight="1">
      <c r="A240"/>
      <c r="B240"/>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row>
    <row r="241" spans="1:41" ht="15" customHeight="1">
      <c r="A241"/>
      <c r="B241"/>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row>
    <row r="242" spans="1:41" ht="15" customHeight="1">
      <c r="A242"/>
      <c r="B242"/>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row>
    <row r="243" spans="1:41" ht="15" customHeight="1">
      <c r="A243"/>
      <c r="B243"/>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row>
    <row r="244" spans="1:41" ht="15" customHeight="1">
      <c r="A244"/>
      <c r="B244"/>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row>
    <row r="245" spans="1:41" ht="15" customHeight="1">
      <c r="A245"/>
      <c r="B2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row>
    <row r="246" spans="1:41" ht="15" customHeight="1">
      <c r="A246"/>
      <c r="B246"/>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row>
    <row r="247" spans="1:41" ht="15" customHeight="1">
      <c r="A247"/>
      <c r="B247"/>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row>
    <row r="248" spans="1:41" ht="15" customHeight="1">
      <c r="A248"/>
      <c r="B248"/>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row>
    <row r="249" spans="1:41" ht="15" customHeight="1">
      <c r="A249"/>
      <c r="B249"/>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row>
    <row r="250" spans="1:41" ht="15" customHeight="1">
      <c r="A250"/>
      <c r="B250"/>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row>
    <row r="251" spans="1:41" ht="15" customHeight="1">
      <c r="A251"/>
      <c r="B251"/>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row>
    <row r="252" spans="1:41" ht="15" customHeight="1">
      <c r="A252"/>
      <c r="B252"/>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row>
    <row r="253" spans="1:41" ht="15" customHeight="1">
      <c r="A253"/>
      <c r="B253"/>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row>
    <row r="254" spans="1:41" ht="15" customHeight="1">
      <c r="A254"/>
      <c r="B254"/>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row>
    <row r="255" spans="1:41" ht="15" customHeight="1">
      <c r="A255"/>
      <c r="B25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row>
    <row r="256" spans="1:41" ht="15" customHeight="1">
      <c r="A256"/>
      <c r="B256"/>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row>
    <row r="257" spans="1:41" ht="15" customHeight="1">
      <c r="A257"/>
      <c r="B257"/>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row>
    <row r="258" spans="1:41" ht="15" customHeight="1">
      <c r="A258"/>
      <c r="B258"/>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row>
    <row r="259" spans="1:41" ht="15" customHeight="1">
      <c r="A259"/>
      <c r="B259"/>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row>
    <row r="260" spans="1:41" ht="15" customHeight="1">
      <c r="A260"/>
      <c r="B260"/>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row>
    <row r="261" spans="1:41" ht="15" customHeight="1">
      <c r="A261"/>
      <c r="B261"/>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row>
    <row r="262" spans="1:41" ht="15" customHeight="1">
      <c r="A262"/>
      <c r="B262"/>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row>
    <row r="263" spans="1:41" ht="15" customHeight="1">
      <c r="A263"/>
      <c r="B263"/>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row>
    <row r="264" spans="1:41" ht="15" customHeight="1">
      <c r="A264"/>
      <c r="B264"/>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row>
    <row r="265" spans="1:41" ht="15" customHeight="1">
      <c r="A265"/>
      <c r="B26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row>
    <row r="266" spans="1:41" ht="15" customHeight="1">
      <c r="A266"/>
      <c r="B266"/>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row>
    <row r="267" spans="1:41" ht="15" customHeight="1">
      <c r="A267"/>
      <c r="B267"/>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row>
    <row r="268" spans="1:41" ht="15" customHeight="1">
      <c r="A268"/>
      <c r="B268"/>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row>
    <row r="269" spans="1:41" ht="15" customHeight="1">
      <c r="A269"/>
      <c r="B269"/>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row>
    <row r="270" spans="1:41" ht="15" customHeight="1">
      <c r="A270"/>
      <c r="B270"/>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row>
    <row r="271" spans="1:41" ht="15" customHeight="1">
      <c r="A271"/>
      <c r="B271"/>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row>
    <row r="272" spans="1:41" ht="15" customHeight="1">
      <c r="A272"/>
      <c r="B272"/>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row>
    <row r="273" spans="1:41" ht="15" customHeight="1">
      <c r="A273"/>
      <c r="B273"/>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row>
    <row r="274" spans="1:41" ht="15" customHeight="1">
      <c r="A274"/>
      <c r="B274"/>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row>
    <row r="275" spans="1:41" ht="15" customHeight="1">
      <c r="A275"/>
      <c r="B27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row>
    <row r="276" spans="1:41" ht="15" customHeight="1">
      <c r="A276"/>
      <c r="B276"/>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row>
    <row r="277" spans="1:41" ht="15" customHeight="1">
      <c r="A277"/>
      <c r="B277"/>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row>
    <row r="278" spans="1:41" ht="15" customHeight="1">
      <c r="A278"/>
      <c r="B278"/>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row>
    <row r="279" spans="1:41" ht="15" customHeight="1">
      <c r="A279"/>
      <c r="B279"/>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row>
    <row r="280" spans="1:41" ht="15" customHeight="1">
      <c r="A280"/>
      <c r="B280"/>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row>
    <row r="281" spans="1:41" ht="15" customHeight="1">
      <c r="A281"/>
      <c r="B281"/>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row>
    <row r="282" spans="1:41" ht="15" customHeight="1">
      <c r="A282"/>
      <c r="B282"/>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row>
    <row r="283" spans="1:41" ht="15" customHeight="1">
      <c r="A283"/>
      <c r="B283"/>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row>
    <row r="284" spans="1:41" ht="15" customHeight="1">
      <c r="A284"/>
      <c r="B284"/>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row>
    <row r="285" spans="1:41" ht="15" customHeight="1">
      <c r="A285"/>
      <c r="B28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row>
    <row r="286" spans="1:41" ht="15" customHeight="1">
      <c r="A286"/>
      <c r="B286"/>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row>
    <row r="287" spans="1:41" ht="15" customHeight="1">
      <c r="A287"/>
      <c r="B287"/>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row>
    <row r="288" spans="1:41" ht="15" customHeight="1">
      <c r="A288"/>
      <c r="B288"/>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row>
    <row r="289" spans="1:41" ht="15" customHeight="1">
      <c r="A289"/>
      <c r="B289"/>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row>
    <row r="290" spans="1:41" ht="15" customHeight="1">
      <c r="A290"/>
      <c r="B290"/>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row>
    <row r="291" spans="1:41" ht="15" customHeight="1">
      <c r="A291"/>
      <c r="B291"/>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row>
    <row r="292" spans="1:41" ht="15" customHeight="1">
      <c r="A292"/>
      <c r="B292"/>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row>
    <row r="293" spans="1:41" ht="15" customHeight="1">
      <c r="A293"/>
      <c r="B293"/>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row>
    <row r="294" spans="1:41" ht="15" customHeight="1">
      <c r="A294"/>
      <c r="B294"/>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row>
    <row r="295" spans="1:41" ht="15" customHeight="1">
      <c r="A295"/>
      <c r="B29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row>
    <row r="296" spans="1:41" ht="15" customHeight="1">
      <c r="A296"/>
      <c r="B296"/>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row>
    <row r="297" spans="1:41" ht="15" customHeight="1">
      <c r="A297"/>
      <c r="B297"/>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row>
    <row r="298" spans="1:41" ht="15" customHeight="1">
      <c r="A298"/>
      <c r="B298"/>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row>
    <row r="299" spans="1:41" ht="15" customHeight="1">
      <c r="A299"/>
      <c r="B299"/>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row>
    <row r="300" spans="1:41" ht="15" customHeight="1">
      <c r="A300"/>
      <c r="B300"/>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row>
    <row r="301" spans="1:41" ht="15" customHeight="1">
      <c r="A301"/>
      <c r="B301"/>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row>
    <row r="302" spans="1:41" ht="15" customHeight="1">
      <c r="A302"/>
      <c r="B302"/>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row>
    <row r="303" spans="1:41" ht="15" customHeight="1">
      <c r="A303"/>
      <c r="B303"/>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row>
    <row r="304" spans="1:41" ht="15" customHeight="1">
      <c r="A304"/>
      <c r="B304"/>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row>
    <row r="305" spans="1:41" ht="15" customHeight="1">
      <c r="A305"/>
      <c r="B30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row>
    <row r="306" spans="1:41" ht="15" customHeight="1">
      <c r="A306"/>
      <c r="B306"/>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row>
    <row r="307" spans="1:41" ht="15" customHeight="1">
      <c r="A307"/>
      <c r="B307"/>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row>
    <row r="308" spans="1:41" ht="15" customHeight="1">
      <c r="A308"/>
      <c r="B308"/>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row>
    <row r="309" spans="1:41" ht="15" customHeight="1">
      <c r="A309"/>
      <c r="B309"/>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row>
    <row r="310" spans="1:41" ht="15" customHeight="1">
      <c r="A310"/>
      <c r="B310"/>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row>
    <row r="311" spans="1:41" ht="15" customHeight="1">
      <c r="A311"/>
      <c r="B311"/>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row>
    <row r="312" spans="1:41" ht="15" customHeight="1">
      <c r="A312"/>
      <c r="B312"/>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row>
    <row r="313" spans="1:41" ht="15" customHeight="1">
      <c r="A313"/>
      <c r="B313"/>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row>
    <row r="314" spans="1:41" ht="15" customHeight="1">
      <c r="A314"/>
      <c r="B314"/>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row>
    <row r="315" spans="1:41" ht="15" customHeight="1">
      <c r="A315"/>
      <c r="B31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row>
    <row r="316" spans="1:41" ht="15" customHeight="1">
      <c r="A316"/>
      <c r="B316"/>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row>
    <row r="317" spans="1:41" ht="15" customHeight="1">
      <c r="A317"/>
      <c r="B317"/>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row>
    <row r="318" spans="1:41" ht="15" customHeight="1">
      <c r="A318"/>
      <c r="B318"/>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row>
    <row r="319" spans="1:41" ht="15" customHeight="1">
      <c r="A319"/>
      <c r="B319"/>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row>
    <row r="320" spans="1:41" ht="15" customHeight="1">
      <c r="A320"/>
      <c r="B320"/>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row>
    <row r="321" spans="1:41" ht="15" customHeight="1">
      <c r="A321"/>
      <c r="B321"/>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row>
    <row r="322" spans="1:41" ht="15" customHeight="1">
      <c r="A322"/>
      <c r="B322"/>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row>
    <row r="323" spans="1:41" ht="15" customHeight="1">
      <c r="A323"/>
      <c r="B323"/>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row>
    <row r="324" spans="1:41" ht="15" customHeight="1">
      <c r="A324"/>
      <c r="B324"/>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row>
    <row r="325" spans="1:41" ht="15" customHeight="1">
      <c r="A325"/>
      <c r="B32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row>
    <row r="326" spans="1:41" ht="15" customHeight="1">
      <c r="A326"/>
      <c r="B326"/>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row>
    <row r="327" spans="1:41" ht="15" customHeight="1">
      <c r="A327"/>
      <c r="B327"/>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row>
    <row r="328" spans="1:41" ht="15" customHeight="1">
      <c r="A328"/>
      <c r="B328"/>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row>
    <row r="329" spans="1:41" ht="15" customHeight="1">
      <c r="A329"/>
      <c r="B329"/>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row>
    <row r="330" spans="1:41" ht="15" customHeight="1">
      <c r="A330"/>
      <c r="B330"/>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row>
    <row r="331" spans="1:41" ht="15" customHeight="1">
      <c r="A331"/>
      <c r="B331"/>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row>
    <row r="332" spans="1:41" ht="15" customHeight="1">
      <c r="A332"/>
      <c r="B332"/>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row>
    <row r="333" spans="1:41" ht="15" customHeight="1">
      <c r="A333"/>
      <c r="B333"/>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row>
    <row r="334" spans="1:41" ht="15" customHeight="1">
      <c r="A334"/>
      <c r="B334"/>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row>
    <row r="335" spans="1:41" ht="15" customHeight="1">
      <c r="A335"/>
      <c r="B33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row>
    <row r="336" spans="1:41" ht="15" customHeight="1">
      <c r="A336"/>
      <c r="B336"/>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row>
    <row r="337" spans="1:41" ht="15" customHeight="1">
      <c r="A337"/>
      <c r="B337"/>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row>
    <row r="338" spans="1:41" ht="15" customHeight="1">
      <c r="A338"/>
      <c r="B338"/>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row>
    <row r="339" spans="1:41" ht="15" customHeight="1">
      <c r="A339"/>
      <c r="B339"/>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row>
    <row r="340" spans="1:41" ht="15" customHeight="1">
      <c r="A340"/>
      <c r="B340"/>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row>
    <row r="341" spans="1:41" ht="15" customHeight="1">
      <c r="A341"/>
      <c r="B341"/>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row>
    <row r="342" spans="1:41" ht="15" customHeight="1">
      <c r="A342"/>
      <c r="B342"/>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row>
    <row r="343" spans="1:41" ht="15" customHeight="1">
      <c r="A343"/>
      <c r="B343"/>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row>
    <row r="344" spans="1:41" ht="15" customHeight="1">
      <c r="A344"/>
      <c r="B344"/>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row>
    <row r="345" spans="1:41" ht="15" customHeight="1">
      <c r="A345"/>
      <c r="B3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row>
    <row r="346" spans="1:41" ht="15" customHeight="1">
      <c r="A346"/>
      <c r="B346"/>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row>
    <row r="347" spans="1:41" ht="15" customHeight="1">
      <c r="A347"/>
      <c r="B347"/>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row>
    <row r="348" spans="1:41" ht="15" customHeight="1">
      <c r="A348"/>
      <c r="B348"/>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row>
    <row r="349" spans="1:41" ht="15" customHeight="1">
      <c r="A349"/>
      <c r="B349"/>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row>
    <row r="350" spans="1:41" ht="15" customHeight="1">
      <c r="A350"/>
      <c r="B350"/>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row>
    <row r="351" spans="1:41" ht="15" customHeight="1">
      <c r="A351"/>
      <c r="B351"/>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row>
    <row r="352" spans="1:41" ht="15" customHeight="1">
      <c r="A352"/>
      <c r="B352"/>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row>
    <row r="353" spans="1:41" ht="15" customHeight="1">
      <c r="A353"/>
      <c r="B353"/>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row>
    <row r="354" spans="1:41" ht="15" customHeight="1">
      <c r="A354"/>
      <c r="B354"/>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row>
    <row r="355" spans="1:41" ht="15" customHeight="1">
      <c r="A355"/>
      <c r="B35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row>
    <row r="356" spans="1:41" ht="15" customHeight="1">
      <c r="A356"/>
      <c r="B356"/>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row>
    <row r="357" spans="1:41" ht="15" customHeight="1">
      <c r="A357"/>
      <c r="B357"/>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row>
    <row r="358" spans="1:41" ht="15" customHeight="1">
      <c r="A358"/>
      <c r="B358"/>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row>
    <row r="359" spans="1:41" ht="15" customHeight="1">
      <c r="A359"/>
      <c r="B359"/>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row>
    <row r="360" spans="1:41" ht="15" customHeight="1">
      <c r="A360"/>
      <c r="B360"/>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row>
    <row r="361" spans="1:41" ht="15" customHeight="1">
      <c r="A361"/>
      <c r="B361"/>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row>
    <row r="362" spans="1:41" ht="15" customHeight="1">
      <c r="A362"/>
      <c r="B362"/>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row>
    <row r="363" spans="1:41" ht="15" customHeight="1">
      <c r="A363"/>
      <c r="B363"/>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row>
    <row r="364" spans="1:41" ht="15" customHeight="1">
      <c r="A364"/>
      <c r="B364"/>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row>
    <row r="365" spans="1:41" ht="15" customHeight="1">
      <c r="A365"/>
      <c r="B36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row>
    <row r="366" spans="1:41" ht="15" customHeight="1">
      <c r="A366"/>
      <c r="B366"/>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row>
    <row r="367" spans="1:41" ht="15" customHeight="1">
      <c r="A367"/>
      <c r="B367"/>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row>
    <row r="368" spans="1:41" ht="15" customHeight="1">
      <c r="A368"/>
      <c r="B368"/>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row>
    <row r="369" spans="1:41" ht="15" customHeight="1">
      <c r="A369"/>
      <c r="B369"/>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row>
    <row r="370" spans="1:41" ht="15" customHeight="1">
      <c r="A370"/>
      <c r="B370"/>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row>
    <row r="371" spans="1:41" ht="15" customHeight="1">
      <c r="A371"/>
      <c r="B371"/>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row>
    <row r="372" spans="1:41" ht="15" customHeight="1">
      <c r="A372"/>
      <c r="B372"/>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row>
    <row r="373" spans="1:41" ht="15" customHeight="1">
      <c r="A373"/>
      <c r="B373"/>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row>
    <row r="374" spans="1:41" ht="15" customHeight="1">
      <c r="A374"/>
      <c r="B374"/>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row>
    <row r="375" spans="1:41" ht="15" customHeight="1">
      <c r="A375"/>
      <c r="B37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row>
    <row r="376" spans="1:41" ht="15" customHeight="1">
      <c r="A376"/>
      <c r="B376"/>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row>
    <row r="377" spans="1:41" ht="15" customHeight="1">
      <c r="A377"/>
      <c r="B377"/>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row>
    <row r="378" spans="1:41" ht="15" customHeight="1">
      <c r="A378"/>
      <c r="B378"/>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row>
    <row r="379" spans="1:41" ht="15" customHeight="1">
      <c r="A379"/>
      <c r="B379"/>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row>
    <row r="380" spans="1:41" ht="15" customHeight="1">
      <c r="A380"/>
      <c r="B380"/>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row>
    <row r="381" spans="1:41" ht="15" customHeight="1">
      <c r="A381"/>
      <c r="B381"/>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row>
    <row r="382" spans="1:41" ht="15" customHeight="1">
      <c r="A382"/>
      <c r="B382"/>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row>
    <row r="383" spans="1:41" ht="15" customHeight="1">
      <c r="A383"/>
      <c r="B383"/>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row>
    <row r="384" spans="1:41" ht="15" customHeight="1">
      <c r="A384"/>
      <c r="B384"/>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row>
    <row r="385" spans="1:41" ht="15" customHeight="1">
      <c r="A385"/>
      <c r="B38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row>
    <row r="386" spans="1:41" ht="15" customHeight="1">
      <c r="A386"/>
      <c r="B386"/>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row>
    <row r="387" spans="1:41" ht="15" customHeight="1">
      <c r="A387"/>
      <c r="B387"/>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row>
    <row r="388" spans="1:41" ht="15" customHeight="1">
      <c r="A388"/>
      <c r="B388"/>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row>
    <row r="389" spans="1:41" ht="15" customHeight="1">
      <c r="A389"/>
      <c r="B389"/>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row>
    <row r="390" spans="1:41" ht="15" customHeight="1">
      <c r="A390"/>
      <c r="B390"/>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row>
    <row r="391" spans="1:41" ht="15" customHeight="1">
      <c r="A391"/>
      <c r="B391"/>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row>
    <row r="392" spans="1:41" ht="15" customHeight="1">
      <c r="A392"/>
      <c r="B392"/>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row>
    <row r="393" spans="1:41" ht="15" customHeight="1">
      <c r="A393"/>
      <c r="B393"/>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row>
    <row r="394" spans="1:41" ht="15" customHeight="1">
      <c r="A394"/>
      <c r="B394"/>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row>
    <row r="395" spans="1:41" ht="15" customHeight="1">
      <c r="A395"/>
      <c r="B39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row>
    <row r="396" spans="1:41" ht="15" customHeight="1">
      <c r="A396"/>
      <c r="B396"/>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row>
    <row r="397" spans="1:41" ht="15" customHeight="1">
      <c r="A397"/>
      <c r="B397"/>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row>
    <row r="398" spans="1:41" ht="15" customHeight="1">
      <c r="A398"/>
      <c r="B398"/>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row>
    <row r="399" spans="1:41" ht="15" customHeight="1">
      <c r="A399"/>
      <c r="B399"/>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row>
    <row r="400" spans="1:41" ht="15" customHeight="1">
      <c r="A400"/>
      <c r="B400"/>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row>
    <row r="401" spans="1:41" ht="15" customHeight="1">
      <c r="A401"/>
      <c r="B401"/>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row>
    <row r="402" spans="1:41" ht="15" customHeight="1">
      <c r="A402"/>
      <c r="B402"/>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row>
    <row r="403" spans="1:41" ht="15" customHeight="1">
      <c r="A403"/>
      <c r="B403"/>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row>
    <row r="404" spans="1:41" ht="15" customHeight="1">
      <c r="A404"/>
      <c r="B404"/>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row>
    <row r="405" spans="1:41" ht="15" customHeight="1">
      <c r="A405"/>
      <c r="B40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row>
    <row r="406" spans="1:41" ht="15" customHeight="1">
      <c r="A406"/>
      <c r="B406"/>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row>
    <row r="407" spans="1:41" ht="15" customHeight="1">
      <c r="A407"/>
      <c r="B407"/>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row>
    <row r="408" spans="1:41" ht="15" customHeight="1">
      <c r="A408"/>
      <c r="B408"/>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row>
    <row r="409" spans="1:41" ht="15" customHeight="1">
      <c r="A409"/>
      <c r="B409"/>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row>
    <row r="410" spans="1:41" ht="15" customHeight="1">
      <c r="A410"/>
      <c r="B410"/>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row>
    <row r="411" spans="1:41" ht="15" customHeight="1">
      <c r="A411"/>
      <c r="B411"/>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row>
    <row r="412" spans="1:41" ht="15" customHeight="1">
      <c r="A412"/>
      <c r="B412"/>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row>
    <row r="413" spans="1:41" ht="15" customHeight="1">
      <c r="A413"/>
      <c r="B413"/>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row>
    <row r="414" spans="1:41" ht="15" customHeight="1">
      <c r="A414"/>
      <c r="B414"/>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row>
    <row r="415" spans="1:41" ht="15" customHeight="1">
      <c r="A415"/>
      <c r="B41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row>
    <row r="416" spans="1:41" ht="15" customHeight="1">
      <c r="A416"/>
      <c r="B416"/>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row>
    <row r="417" spans="1:41" ht="15" customHeight="1">
      <c r="A417"/>
      <c r="B417"/>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row>
    <row r="418" spans="1:41" ht="15" customHeight="1">
      <c r="A418"/>
      <c r="B418"/>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row>
    <row r="419" spans="1:41" ht="15" customHeight="1">
      <c r="A419"/>
      <c r="B419"/>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row>
    <row r="420" spans="1:41" ht="15" customHeight="1">
      <c r="A420"/>
      <c r="B420"/>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row>
    <row r="421" spans="1:41" ht="15" customHeight="1">
      <c r="A421"/>
      <c r="B421"/>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row>
    <row r="422" spans="1:41" ht="15" customHeight="1">
      <c r="A422"/>
      <c r="B422"/>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row>
    <row r="423" spans="1:41" ht="15" customHeight="1">
      <c r="A423"/>
      <c r="B423"/>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row>
    <row r="424" spans="1:41" ht="15" customHeight="1">
      <c r="A424"/>
      <c r="B424"/>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row>
    <row r="425" spans="1:41" ht="15" customHeight="1">
      <c r="A425"/>
      <c r="B42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row>
    <row r="426" spans="1:41" ht="15" customHeight="1">
      <c r="A426"/>
      <c r="B426"/>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row>
    <row r="427" spans="1:41" ht="15" customHeight="1">
      <c r="A427"/>
      <c r="B427"/>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row>
    <row r="428" spans="1:41" ht="15" customHeight="1">
      <c r="A428"/>
      <c r="B428"/>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row>
    <row r="429" spans="1:41" ht="15" customHeight="1">
      <c r="A429"/>
      <c r="B429"/>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row>
    <row r="430" spans="1:41" ht="15" customHeight="1">
      <c r="A430"/>
      <c r="B430"/>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row>
    <row r="431" spans="1:41" ht="15" customHeight="1">
      <c r="A431"/>
      <c r="B431"/>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row>
    <row r="432" spans="1:41" ht="15" customHeight="1">
      <c r="A432"/>
      <c r="B432"/>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row>
    <row r="433" spans="1:41" ht="15" customHeight="1">
      <c r="A433"/>
      <c r="B433"/>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row>
    <row r="434" spans="1:41" ht="15" customHeight="1">
      <c r="A434"/>
      <c r="B434"/>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row>
    <row r="435" spans="1:41" ht="15" customHeight="1">
      <c r="A435"/>
      <c r="B43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row>
    <row r="436" spans="1:41" ht="15" customHeight="1">
      <c r="A436"/>
      <c r="B436"/>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row>
    <row r="437" spans="1:41" ht="15" customHeight="1">
      <c r="A437"/>
      <c r="B437"/>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row>
    <row r="438" spans="1:41" ht="15" customHeight="1">
      <c r="A438"/>
      <c r="B438"/>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row>
    <row r="439" spans="1:41" ht="15" customHeight="1">
      <c r="A439"/>
      <c r="B439"/>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row>
    <row r="440" spans="1:41" ht="15" customHeight="1">
      <c r="A440"/>
      <c r="B440"/>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row>
    <row r="441" spans="1:41" ht="15" customHeight="1">
      <c r="A441"/>
      <c r="B441"/>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row>
    <row r="442" spans="1:41" ht="15" customHeight="1">
      <c r="A442"/>
      <c r="B442"/>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row>
    <row r="443" spans="1:41" ht="15" customHeight="1">
      <c r="A443"/>
      <c r="B443"/>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row>
    <row r="444" spans="1:41" ht="15" customHeight="1">
      <c r="A444"/>
      <c r="B444"/>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row>
    <row r="445" spans="1:41" ht="15" customHeight="1">
      <c r="A445"/>
      <c r="B4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row>
    <row r="446" spans="1:41" ht="15" customHeight="1">
      <c r="A446"/>
      <c r="B446"/>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row>
    <row r="447" spans="1:41" ht="15" customHeight="1">
      <c r="A447"/>
      <c r="B447"/>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row>
    <row r="448" spans="1:41" ht="15" customHeight="1">
      <c r="A448"/>
      <c r="B448"/>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row>
    <row r="449" spans="1:41" ht="15" customHeight="1">
      <c r="A449"/>
      <c r="B449"/>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row>
    <row r="450" spans="1:41" ht="15" customHeight="1">
      <c r="A450"/>
      <c r="B450"/>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row>
    <row r="451" spans="1:41" ht="15" customHeight="1">
      <c r="A451"/>
      <c r="B451"/>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row>
    <row r="452" spans="1:41" ht="15" customHeight="1">
      <c r="A452"/>
      <c r="B452"/>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row>
    <row r="453" spans="1:41" ht="15" customHeight="1">
      <c r="A453"/>
      <c r="B453"/>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row>
    <row r="454" spans="1:41" ht="15" customHeight="1">
      <c r="A454"/>
      <c r="B454"/>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row>
    <row r="455" spans="1:41" ht="15" customHeight="1">
      <c r="A455"/>
      <c r="B45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row>
    <row r="456" spans="1:41" ht="15" customHeight="1">
      <c r="A456"/>
      <c r="B456"/>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row>
    <row r="457" spans="1:41" ht="15" customHeight="1">
      <c r="A457"/>
      <c r="B457"/>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row>
    <row r="458" spans="1:41" ht="15" customHeight="1">
      <c r="A458"/>
      <c r="B458"/>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row>
    <row r="459" spans="1:41" ht="15" customHeight="1">
      <c r="A459"/>
      <c r="B459"/>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row>
    <row r="460" spans="1:41" ht="15" customHeight="1">
      <c r="A460"/>
      <c r="B460"/>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row>
    <row r="461" spans="1:41" ht="15" customHeight="1">
      <c r="A461"/>
      <c r="B461"/>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row>
    <row r="462" spans="1:41" ht="15" customHeight="1">
      <c r="A462"/>
      <c r="B462"/>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row>
    <row r="463" spans="1:41" ht="15" customHeight="1">
      <c r="A463"/>
      <c r="B463"/>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row>
    <row r="464" spans="1:41" ht="15" customHeight="1">
      <c r="A464"/>
      <c r="B464"/>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row>
    <row r="465" spans="1:41" ht="15" customHeight="1">
      <c r="A465"/>
      <c r="B46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row>
    <row r="466" spans="1:41" ht="15" customHeight="1">
      <c r="A466"/>
      <c r="B466"/>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row>
    <row r="467" spans="1:41" ht="15" customHeight="1">
      <c r="A467"/>
      <c r="B467"/>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row>
    <row r="468" spans="1:41" ht="15" customHeight="1">
      <c r="A468"/>
      <c r="B468"/>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row>
    <row r="469" spans="1:41" ht="15" customHeight="1">
      <c r="A469"/>
      <c r="B469"/>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row>
    <row r="470" spans="1:41" ht="15" customHeight="1">
      <c r="A470"/>
      <c r="B470"/>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row>
    <row r="471" spans="1:41" ht="15" customHeight="1">
      <c r="A471"/>
      <c r="B471"/>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row>
    <row r="472" spans="1:41" ht="15" customHeight="1">
      <c r="A472"/>
      <c r="B472"/>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row>
    <row r="473" spans="1:41" ht="15" customHeight="1">
      <c r="A473"/>
      <c r="B473"/>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row>
    <row r="474" spans="1:41" ht="15" customHeight="1">
      <c r="A474"/>
      <c r="B474"/>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row>
    <row r="475" spans="1:41" ht="15" customHeight="1">
      <c r="A475"/>
      <c r="B47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row>
    <row r="476" spans="1:41" ht="15" customHeight="1">
      <c r="A476"/>
      <c r="B476"/>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row>
    <row r="477" spans="1:41" ht="15" customHeight="1">
      <c r="A477"/>
      <c r="B477"/>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row>
    <row r="478" spans="1:41" ht="15" customHeight="1">
      <c r="A478"/>
      <c r="B478"/>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row>
    <row r="479" spans="1:41" ht="15" customHeight="1">
      <c r="A479"/>
      <c r="B479"/>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row>
    <row r="480" spans="1:41" ht="15" customHeight="1">
      <c r="A480"/>
      <c r="B480"/>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row>
    <row r="481" spans="1:41" ht="15" customHeight="1">
      <c r="A481"/>
      <c r="B481"/>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row>
    <row r="482" spans="1:41" ht="15" customHeight="1">
      <c r="A482"/>
      <c r="B482"/>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row>
    <row r="483" spans="1:41" ht="15" customHeight="1">
      <c r="A483"/>
      <c r="B483"/>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row>
    <row r="484" spans="1:41" ht="15" customHeight="1">
      <c r="A484"/>
      <c r="B484"/>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row>
    <row r="485" spans="1:41" ht="15" customHeight="1">
      <c r="A485"/>
      <c r="B48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row>
    <row r="486" spans="1:41" ht="15" customHeight="1">
      <c r="A486"/>
      <c r="B486"/>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row>
    <row r="487" spans="1:41" ht="15" customHeight="1">
      <c r="A487"/>
      <c r="B487"/>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row>
    <row r="488" spans="1:41" ht="15" customHeight="1">
      <c r="A488"/>
      <c r="B488"/>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row>
    <row r="489" spans="1:41" ht="15" customHeight="1">
      <c r="A489"/>
      <c r="B489"/>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row>
    <row r="490" spans="1:41" ht="15" customHeight="1">
      <c r="A490"/>
      <c r="B490"/>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row>
    <row r="491" spans="1:41" ht="15" customHeight="1">
      <c r="A491"/>
      <c r="B491"/>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row>
    <row r="492" spans="1:41" ht="15" customHeight="1">
      <c r="A492"/>
      <c r="B492"/>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row>
    <row r="493" spans="1:41" ht="15" customHeight="1">
      <c r="A493"/>
      <c r="B493"/>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row>
    <row r="494" spans="1:41" ht="15" customHeight="1">
      <c r="A494"/>
      <c r="B494"/>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row>
    <row r="495" spans="1:41" ht="15" customHeight="1">
      <c r="A495"/>
      <c r="B49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row>
    <row r="496" spans="1:41" ht="15" customHeight="1">
      <c r="A496"/>
      <c r="B496"/>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row>
    <row r="497" spans="1:41" ht="15" customHeight="1">
      <c r="A497"/>
      <c r="B497"/>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row>
    <row r="498" spans="1:41" ht="15" customHeight="1">
      <c r="A498"/>
      <c r="B498"/>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row>
    <row r="499" spans="1:41" ht="15" customHeight="1">
      <c r="A499"/>
      <c r="B499"/>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row>
    <row r="500" spans="1:41" ht="15" customHeight="1">
      <c r="A500"/>
      <c r="B500"/>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row>
    <row r="501" spans="1:41" ht="15" customHeight="1">
      <c r="A501"/>
      <c r="B501"/>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row>
    <row r="502" spans="1:41" ht="15" customHeight="1">
      <c r="A502"/>
      <c r="B502"/>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row>
    <row r="503" spans="1:41" ht="15" customHeight="1">
      <c r="A503"/>
      <c r="B503"/>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row>
    <row r="504" spans="1:41" ht="15" customHeight="1">
      <c r="A504"/>
      <c r="B504"/>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row>
    <row r="505" spans="1:41" ht="15" customHeight="1">
      <c r="A505"/>
      <c r="B50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row>
    <row r="506" spans="1:41" ht="15" customHeight="1">
      <c r="A506"/>
      <c r="B506"/>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row>
    <row r="507" spans="1:41" ht="15" customHeight="1">
      <c r="A507"/>
      <c r="B507"/>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row>
    <row r="508" spans="1:41" ht="15" customHeight="1">
      <c r="A508"/>
      <c r="B508"/>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row>
    <row r="509" spans="1:41" ht="15" customHeight="1">
      <c r="A509"/>
      <c r="B509"/>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row>
    <row r="510" spans="1:41" ht="15" customHeight="1">
      <c r="A510"/>
      <c r="B510"/>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row>
    <row r="511" spans="1:41" ht="15" customHeight="1">
      <c r="A511"/>
      <c r="B511"/>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row>
    <row r="512" spans="1:41" ht="15" customHeight="1">
      <c r="A512"/>
      <c r="B512"/>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row>
    <row r="513" spans="1:41" ht="15" customHeight="1">
      <c r="A513"/>
      <c r="B513"/>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row>
    <row r="514" spans="1:41" ht="15" customHeight="1">
      <c r="A514"/>
      <c r="B514"/>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row>
    <row r="515" spans="1:41" ht="15" customHeight="1">
      <c r="A515"/>
      <c r="B51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row>
    <row r="516" spans="1:41" ht="15" customHeight="1">
      <c r="A516"/>
      <c r="B516"/>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row>
    <row r="517" spans="1:41" ht="15" customHeight="1">
      <c r="A517"/>
      <c r="B517"/>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row>
    <row r="518" spans="1:41" ht="15" customHeight="1">
      <c r="A518"/>
      <c r="B518"/>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row>
    <row r="519" spans="1:41" ht="15" customHeight="1">
      <c r="A519"/>
      <c r="B519"/>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row>
    <row r="520" spans="1:41" ht="15" customHeight="1">
      <c r="A520"/>
      <c r="B520"/>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row>
    <row r="521" spans="1:41" ht="15" customHeight="1">
      <c r="A521"/>
      <c r="B521"/>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row>
    <row r="522" spans="3:41" ht="15">
      <c r="C522" s="100"/>
      <c r="D522" s="100"/>
      <c r="E522" s="100"/>
      <c r="F522" s="100"/>
      <c r="G522" s="100"/>
      <c r="H522" s="100"/>
      <c r="I522" s="100"/>
      <c r="J522" s="100"/>
      <c r="K522" s="100"/>
      <c r="L522" s="100"/>
      <c r="M522" s="100"/>
      <c r="S522" s="100"/>
      <c r="T522" s="100"/>
      <c r="U522" s="100"/>
      <c r="W522" s="100"/>
      <c r="X522" s="100"/>
      <c r="Y522" s="100"/>
      <c r="Z522" s="100"/>
      <c r="AA522" s="100"/>
      <c r="AB522" s="100"/>
      <c r="AC522" s="100"/>
      <c r="AD522" s="100"/>
      <c r="AE522" s="100"/>
      <c r="AF522" s="100"/>
      <c r="AG522" s="100"/>
      <c r="AH522" s="100"/>
      <c r="AI522" s="100"/>
      <c r="AJ522" s="100"/>
      <c r="AK522" s="100"/>
      <c r="AL522" s="100"/>
      <c r="AM522" s="100"/>
      <c r="AN522" s="100"/>
      <c r="AO522" s="100"/>
    </row>
    <row r="523" spans="3:41" ht="15">
      <c r="C523" s="100"/>
      <c r="D523" s="100"/>
      <c r="E523" s="100"/>
      <c r="F523" s="100"/>
      <c r="G523" s="100"/>
      <c r="H523" s="100"/>
      <c r="I523" s="100"/>
      <c r="J523" s="100"/>
      <c r="K523" s="100"/>
      <c r="L523" s="100"/>
      <c r="M523" s="100"/>
      <c r="S523" s="100"/>
      <c r="T523" s="100"/>
      <c r="U523" s="100"/>
      <c r="W523" s="100"/>
      <c r="X523" s="100"/>
      <c r="Y523" s="100"/>
      <c r="Z523" s="100"/>
      <c r="AA523" s="100"/>
      <c r="AB523" s="100"/>
      <c r="AC523" s="100"/>
      <c r="AD523" s="100"/>
      <c r="AE523" s="100"/>
      <c r="AF523" s="100"/>
      <c r="AG523" s="100"/>
      <c r="AH523" s="100"/>
      <c r="AI523" s="100"/>
      <c r="AJ523" s="100"/>
      <c r="AK523" s="100"/>
      <c r="AL523" s="100"/>
      <c r="AM523" s="100"/>
      <c r="AN523" s="100"/>
      <c r="AO523" s="100"/>
    </row>
    <row r="524" spans="3:41" ht="15">
      <c r="C524" s="100"/>
      <c r="D524" s="100"/>
      <c r="E524" s="100"/>
      <c r="F524" s="100"/>
      <c r="G524" s="100"/>
      <c r="H524" s="100"/>
      <c r="I524" s="100"/>
      <c r="J524" s="100"/>
      <c r="K524" s="100"/>
      <c r="L524" s="100"/>
      <c r="M524" s="100"/>
      <c r="S524" s="100"/>
      <c r="T524" s="100"/>
      <c r="U524" s="100"/>
      <c r="W524" s="100"/>
      <c r="X524" s="100"/>
      <c r="Y524" s="100"/>
      <c r="Z524" s="100"/>
      <c r="AA524" s="100"/>
      <c r="AB524" s="100"/>
      <c r="AC524" s="100"/>
      <c r="AD524" s="100"/>
      <c r="AE524" s="100"/>
      <c r="AF524" s="100"/>
      <c r="AG524" s="100"/>
      <c r="AH524" s="100"/>
      <c r="AI524" s="100"/>
      <c r="AJ524" s="100"/>
      <c r="AK524" s="100"/>
      <c r="AL524" s="100"/>
      <c r="AM524" s="100"/>
      <c r="AN524" s="100"/>
      <c r="AO524" s="100"/>
    </row>
    <row r="525" spans="3:41" ht="15">
      <c r="C525" s="100"/>
      <c r="D525" s="100"/>
      <c r="E525" s="100"/>
      <c r="F525" s="100"/>
      <c r="G525" s="100"/>
      <c r="H525" s="100"/>
      <c r="I525" s="100"/>
      <c r="J525" s="100"/>
      <c r="K525" s="100"/>
      <c r="L525" s="100"/>
      <c r="M525" s="100"/>
      <c r="S525" s="100"/>
      <c r="T525" s="100"/>
      <c r="U525" s="100"/>
      <c r="W525" s="100"/>
      <c r="X525" s="100"/>
      <c r="Y525" s="100"/>
      <c r="Z525" s="100"/>
      <c r="AA525" s="100"/>
      <c r="AB525" s="100"/>
      <c r="AC525" s="100"/>
      <c r="AD525" s="100"/>
      <c r="AE525" s="100"/>
      <c r="AF525" s="100"/>
      <c r="AG525" s="100"/>
      <c r="AH525" s="100"/>
      <c r="AI525" s="100"/>
      <c r="AJ525" s="100"/>
      <c r="AK525" s="100"/>
      <c r="AL525" s="100"/>
      <c r="AM525" s="100"/>
      <c r="AN525" s="100"/>
      <c r="AO525" s="100"/>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AV30"/>
  <sheetViews>
    <sheetView workbookViewId="0" topLeftCell="A4">
      <pane xSplit="1" topLeftCell="B1" activePane="topRight" state="frozen"/>
      <selection pane="topLeft" activeCell="A5" sqref="A5"/>
      <selection pane="topRight" activeCell="A28" sqref="A28"/>
    </sheetView>
  </sheetViews>
  <sheetFormatPr defaultColWidth="9.140625" defaultRowHeight="12.75"/>
  <cols>
    <col min="1" max="1" width="39.8515625" style="0" customWidth="1"/>
    <col min="2" max="2" width="12.57421875" style="0" customWidth="1"/>
    <col min="3" max="3" width="8.28125" style="0" customWidth="1"/>
    <col min="4" max="4" width="12.00390625" style="0" customWidth="1"/>
    <col min="5" max="5" width="10.421875" style="0" customWidth="1"/>
    <col min="6" max="6" width="11.00390625" style="0" customWidth="1"/>
    <col min="7" max="7" width="8.28125" style="0" customWidth="1"/>
    <col min="8" max="8" width="8.421875" style="0" customWidth="1"/>
    <col min="9" max="9" width="9.8515625" style="0" customWidth="1"/>
    <col min="10" max="10" width="8.421875" style="0" customWidth="1"/>
    <col min="11" max="11" width="14.28125" style="0" customWidth="1"/>
    <col min="13" max="13" width="10.421875" style="0" customWidth="1"/>
    <col min="17" max="17" width="8.57421875" style="0" customWidth="1"/>
    <col min="31" max="31" width="38.140625" style="0" customWidth="1"/>
    <col min="32" max="32" width="38.8515625" style="0" customWidth="1"/>
  </cols>
  <sheetData>
    <row r="1" spans="1:4" ht="12.75">
      <c r="A1" s="109" t="s">
        <v>335</v>
      </c>
      <c r="C1" s="110"/>
      <c r="D1" t="s">
        <v>167</v>
      </c>
    </row>
    <row r="2" spans="1:4" ht="12.75">
      <c r="A2" t="s">
        <v>168</v>
      </c>
      <c r="C2" s="111"/>
      <c r="D2" t="s">
        <v>169</v>
      </c>
    </row>
    <row r="3" spans="3:4" ht="12.75">
      <c r="C3" s="112"/>
      <c r="D3" t="s">
        <v>170</v>
      </c>
    </row>
    <row r="4" ht="13.5" thickBot="1"/>
    <row r="5" spans="13:20" ht="13.5" thickBot="1">
      <c r="M5" s="113" t="s">
        <v>171</v>
      </c>
      <c r="N5" s="114"/>
      <c r="O5" s="114"/>
      <c r="P5" s="114"/>
      <c r="Q5" s="114"/>
      <c r="R5" s="114"/>
      <c r="S5" s="114"/>
      <c r="T5" s="115"/>
    </row>
    <row r="6" spans="2:47" s="5" customFormat="1" ht="64.5" thickBot="1">
      <c r="B6" s="116" t="str">
        <f>'Res Lighting Fixtures and Use'!L20</f>
        <v>Living Rooms</v>
      </c>
      <c r="C6" s="116" t="str">
        <f>'Res Lighting Fixtures and Use'!M20</f>
        <v>Kitchens</v>
      </c>
      <c r="D6" s="116" t="str">
        <f>'Res Lighting Fixtures and Use'!N20</f>
        <v>Bathrooms</v>
      </c>
      <c r="E6" s="116" t="str">
        <f>'Res Lighting Fixtures and Use'!O20</f>
        <v>Bedrooms</v>
      </c>
      <c r="F6" s="116" t="str">
        <f>'Res Lighting Fixtures and Use'!P20</f>
        <v>Master Bedrooms</v>
      </c>
      <c r="G6" s="116" t="str">
        <f>'Res Lighting Fixtures and Use'!Q20</f>
        <v>Porches</v>
      </c>
      <c r="H6" s="116" t="str">
        <f>'Res Lighting Fixtures and Use'!R20</f>
        <v>Yard/ Driveway</v>
      </c>
      <c r="I6" s="117" t="s">
        <v>343</v>
      </c>
      <c r="J6" s="116" t="s">
        <v>344</v>
      </c>
      <c r="K6" s="116" t="s">
        <v>345</v>
      </c>
      <c r="L6"/>
      <c r="M6" s="118" t="s">
        <v>172</v>
      </c>
      <c r="N6" s="119" t="s">
        <v>173</v>
      </c>
      <c r="O6" s="119" t="s">
        <v>174</v>
      </c>
      <c r="P6" s="119" t="s">
        <v>175</v>
      </c>
      <c r="Q6" s="120" t="s">
        <v>176</v>
      </c>
      <c r="R6" s="339" t="s">
        <v>177</v>
      </c>
      <c r="S6" s="340"/>
      <c r="T6" s="341"/>
      <c r="AH6"/>
      <c r="AI6"/>
      <c r="AJ6"/>
      <c r="AK6"/>
      <c r="AL6"/>
      <c r="AM6"/>
      <c r="AN6"/>
      <c r="AO6"/>
      <c r="AP6"/>
      <c r="AQ6"/>
      <c r="AR6"/>
      <c r="AS6"/>
      <c r="AT6"/>
      <c r="AU6"/>
    </row>
    <row r="7" spans="1:47" s="5" customFormat="1" ht="13.5" thickBot="1">
      <c r="A7" s="5" t="s">
        <v>178</v>
      </c>
      <c r="B7" s="298">
        <f>'Res Lighting Fixtures and Use'!L21</f>
        <v>0.19531250000000003</v>
      </c>
      <c r="C7" s="121">
        <f>'Res Lighting Fixtures and Use'!M21</f>
        <v>0.2265625</v>
      </c>
      <c r="D7" s="121">
        <f>'Res Lighting Fixtures and Use'!N21</f>
        <v>0.21875</v>
      </c>
      <c r="E7" s="121">
        <f>'Res Lighting Fixtures and Use'!O21</f>
        <v>0.20312500000000003</v>
      </c>
      <c r="F7" s="121">
        <f>'Res Lighting Fixtures and Use'!P21</f>
        <v>0.15625</v>
      </c>
      <c r="G7" s="121">
        <f>'Res Lighting Fixtures and Use'!Q21</f>
        <v>0.4</v>
      </c>
      <c r="H7" s="121">
        <f>'Res Lighting Fixtures and Use'!R21</f>
        <v>0.6</v>
      </c>
      <c r="I7" s="121">
        <f>'Res Lighting Fixtures and Use'!S21</f>
        <v>0.8648648648648649</v>
      </c>
      <c r="J7" s="121">
        <f>'Res Lighting Fixtures and Use'!T21</f>
        <v>0.13513513513513514</v>
      </c>
      <c r="K7" s="121">
        <f>SUM(I7:J7)</f>
        <v>1</v>
      </c>
      <c r="L7" s="122"/>
      <c r="M7" s="123">
        <v>60</v>
      </c>
      <c r="N7" s="124">
        <v>13</v>
      </c>
      <c r="O7" s="124">
        <f>M7-N7</f>
        <v>47</v>
      </c>
      <c r="P7" s="124">
        <v>15084</v>
      </c>
      <c r="Q7" s="125">
        <f>P7/P$11</f>
        <v>0.31618664318953593</v>
      </c>
      <c r="R7" s="16"/>
      <c r="S7" s="126" t="s">
        <v>179</v>
      </c>
      <c r="T7" s="127">
        <f>SUMPRODUCT(O7:O10,Q7:Q10)</f>
        <v>73.61879008929695</v>
      </c>
      <c r="AH7"/>
      <c r="AI7"/>
      <c r="AJ7"/>
      <c r="AK7"/>
      <c r="AL7"/>
      <c r="AM7"/>
      <c r="AN7"/>
      <c r="AO7"/>
      <c r="AP7"/>
      <c r="AQ7"/>
      <c r="AR7"/>
      <c r="AS7"/>
      <c r="AT7"/>
      <c r="AU7"/>
    </row>
    <row r="8" spans="1:47" s="5" customFormat="1" ht="12.75">
      <c r="A8" s="5" t="s">
        <v>452</v>
      </c>
      <c r="B8" s="297">
        <f>'Res Lighting Fixtures and Use'!L31</f>
        <v>375</v>
      </c>
      <c r="C8" s="294">
        <f>'Res Lighting Fixtures and Use'!M31</f>
        <v>435</v>
      </c>
      <c r="D8" s="294">
        <f>'Res Lighting Fixtures and Use'!N31</f>
        <v>420</v>
      </c>
      <c r="E8" s="294">
        <f>'Res Lighting Fixtures and Use'!O31</f>
        <v>312</v>
      </c>
      <c r="F8" s="294">
        <f>'Res Lighting Fixtures and Use'!P31</f>
        <v>300</v>
      </c>
      <c r="G8" s="128">
        <f>'Res Lighting Fixtures and Use'!Q31</f>
        <v>120</v>
      </c>
      <c r="H8" s="128">
        <f>'Res Lighting Fixtures and Use'!R31</f>
        <v>144</v>
      </c>
      <c r="I8" s="134">
        <f>SUMPRODUCT(B$7:F$7,B8:F8)</f>
        <v>373.921875</v>
      </c>
      <c r="J8" s="134">
        <f>SUMPRODUCT(G$7:H$7,G8:H8)</f>
        <v>134.39999999999998</v>
      </c>
      <c r="K8" s="129">
        <f aca="true" t="shared" si="0" ref="K8:K24">SUMPRODUCT(I$7:J$7,I8:J8)</f>
        <v>341.55405405405406</v>
      </c>
      <c r="M8" s="123">
        <v>75</v>
      </c>
      <c r="N8" s="124">
        <v>18</v>
      </c>
      <c r="O8" s="124">
        <f>M8-N8</f>
        <v>57</v>
      </c>
      <c r="P8" s="124">
        <v>5862</v>
      </c>
      <c r="Q8" s="125">
        <f>P8/P$11</f>
        <v>0.12287762545591749</v>
      </c>
      <c r="R8" s="16"/>
      <c r="S8" s="130"/>
      <c r="T8" s="131"/>
      <c r="AH8"/>
      <c r="AI8"/>
      <c r="AJ8"/>
      <c r="AK8"/>
      <c r="AL8"/>
      <c r="AM8"/>
      <c r="AN8"/>
      <c r="AO8"/>
      <c r="AP8"/>
      <c r="AQ8"/>
      <c r="AR8"/>
      <c r="AS8"/>
      <c r="AT8"/>
      <c r="AU8"/>
    </row>
    <row r="9" spans="1:47" s="5" customFormat="1" ht="12.75">
      <c r="A9" s="5" t="s">
        <v>453</v>
      </c>
      <c r="B9" s="297">
        <f>'Res Lighting Fixtures and Use'!L32</f>
        <v>100</v>
      </c>
      <c r="C9" s="294">
        <f>'Res Lighting Fixtures and Use'!M32</f>
        <v>116</v>
      </c>
      <c r="D9" s="294">
        <f>'Res Lighting Fixtures and Use'!N32</f>
        <v>112</v>
      </c>
      <c r="E9" s="294">
        <f>'Res Lighting Fixtures and Use'!O32</f>
        <v>88.4</v>
      </c>
      <c r="F9" s="294">
        <f>'Res Lighting Fixtures and Use'!P32</f>
        <v>80</v>
      </c>
      <c r="G9" s="134">
        <f>'Res Lighting Fixtures and Use'!Q32</f>
        <v>32</v>
      </c>
      <c r="H9" s="134">
        <f>'Res Lighting Fixtures and Use'!R32</f>
        <v>40.8</v>
      </c>
      <c r="I9" s="134">
        <f>ROUND(SUMPRODUCT(B$7:F$7,B9:F9),0)</f>
        <v>101</v>
      </c>
      <c r="J9" s="134">
        <f>ROUND(SUMPRODUCT(G$7:H$7,G9:H9),0)</f>
        <v>37</v>
      </c>
      <c r="K9" s="129">
        <f>ROUND(SUMPRODUCT(I$7:J$7,I9:J9),0)</f>
        <v>92</v>
      </c>
      <c r="M9" s="123">
        <v>100</v>
      </c>
      <c r="N9" s="124">
        <v>27</v>
      </c>
      <c r="O9" s="124">
        <f>M9-N9</f>
        <v>73</v>
      </c>
      <c r="P9" s="124">
        <v>15792</v>
      </c>
      <c r="Q9" s="125">
        <f>P9/P$11</f>
        <v>0.3310275437051943</v>
      </c>
      <c r="R9" s="16"/>
      <c r="S9" s="132"/>
      <c r="T9" s="133"/>
      <c r="AH9"/>
      <c r="AI9"/>
      <c r="AJ9"/>
      <c r="AK9"/>
      <c r="AL9"/>
      <c r="AM9"/>
      <c r="AN9"/>
      <c r="AO9"/>
      <c r="AP9"/>
      <c r="AQ9"/>
      <c r="AR9"/>
      <c r="AS9"/>
      <c r="AT9"/>
      <c r="AU9"/>
    </row>
    <row r="10" spans="1:47" s="5" customFormat="1" ht="12.75">
      <c r="A10" s="5" t="s">
        <v>478</v>
      </c>
      <c r="B10" s="297">
        <f aca="true" t="shared" si="1" ref="B10:H10">B8-B9</f>
        <v>275</v>
      </c>
      <c r="C10" s="294">
        <f t="shared" si="1"/>
        <v>319</v>
      </c>
      <c r="D10" s="294">
        <f t="shared" si="1"/>
        <v>308</v>
      </c>
      <c r="E10" s="294">
        <f t="shared" si="1"/>
        <v>223.6</v>
      </c>
      <c r="F10" s="294">
        <f t="shared" si="1"/>
        <v>220</v>
      </c>
      <c r="G10" s="128">
        <f t="shared" si="1"/>
        <v>88</v>
      </c>
      <c r="H10" s="128">
        <f t="shared" si="1"/>
        <v>103.2</v>
      </c>
      <c r="I10" s="134">
        <f aca="true" t="shared" si="2" ref="I10:I28">SUMPRODUCT(B$7:F$7,B10:F10)</f>
        <v>273.153125</v>
      </c>
      <c r="J10" s="134">
        <f aca="true" t="shared" si="3" ref="J10:J28">SUMPRODUCT(G$7:H$7,G10:H10)</f>
        <v>97.12</v>
      </c>
      <c r="K10" s="129">
        <f t="shared" si="0"/>
        <v>249.36486486486487</v>
      </c>
      <c r="M10" s="123">
        <v>150</v>
      </c>
      <c r="N10" s="124">
        <v>30</v>
      </c>
      <c r="O10" s="124">
        <f>M10-N10</f>
        <v>120</v>
      </c>
      <c r="P10" s="124">
        <v>10968</v>
      </c>
      <c r="Q10" s="125">
        <f>P10/P$11</f>
        <v>0.22990818764935228</v>
      </c>
      <c r="R10" s="16"/>
      <c r="S10" s="4"/>
      <c r="T10" s="135"/>
      <c r="AH10"/>
      <c r="AI10"/>
      <c r="AJ10"/>
      <c r="AK10"/>
      <c r="AL10"/>
      <c r="AM10"/>
      <c r="AN10"/>
      <c r="AO10"/>
      <c r="AP10"/>
      <c r="AQ10"/>
      <c r="AR10"/>
      <c r="AS10"/>
      <c r="AT10"/>
      <c r="AU10"/>
    </row>
    <row r="11" spans="1:47" s="5" customFormat="1" ht="12.75">
      <c r="A11" s="5" t="s">
        <v>180</v>
      </c>
      <c r="B11" s="297">
        <f>'Res Lighting Fixtures and Use'!L23</f>
        <v>3</v>
      </c>
      <c r="C11" s="294">
        <f>'Res Lighting Fixtures and Use'!M23</f>
        <v>4</v>
      </c>
      <c r="D11" s="294">
        <f>'Res Lighting Fixtures and Use'!N23</f>
        <v>2</v>
      </c>
      <c r="E11" s="294">
        <f>'Res Lighting Fixtures and Use'!O23</f>
        <v>1</v>
      </c>
      <c r="F11" s="294">
        <f>'Res Lighting Fixtures and Use'!P23</f>
        <v>1</v>
      </c>
      <c r="G11" s="128">
        <f>'Res Lighting Fixtures and Use'!Q23</f>
        <v>4</v>
      </c>
      <c r="H11" s="128">
        <f>'Res Lighting Fixtures and Use'!R23</f>
        <v>2</v>
      </c>
      <c r="I11" s="134">
        <f t="shared" si="2"/>
        <v>2.2890625</v>
      </c>
      <c r="J11" s="134">
        <f t="shared" si="3"/>
        <v>2.8</v>
      </c>
      <c r="K11" s="136">
        <f t="shared" si="0"/>
        <v>2.3581081081081083</v>
      </c>
      <c r="M11" s="137" t="s">
        <v>181</v>
      </c>
      <c r="N11" s="132"/>
      <c r="O11" s="132"/>
      <c r="P11" s="132">
        <f>SUM(P7:P10)</f>
        <v>47706</v>
      </c>
      <c r="Q11" s="138">
        <f>SUM(Q7:Q10)</f>
        <v>1</v>
      </c>
      <c r="R11" s="16"/>
      <c r="S11" s="16"/>
      <c r="T11" s="131"/>
      <c r="AH11"/>
      <c r="AI11"/>
      <c r="AJ11"/>
      <c r="AK11"/>
      <c r="AL11"/>
      <c r="AM11"/>
      <c r="AN11"/>
      <c r="AO11"/>
      <c r="AP11"/>
      <c r="AQ11"/>
      <c r="AR11"/>
      <c r="AS11"/>
      <c r="AT11"/>
      <c r="AU11"/>
    </row>
    <row r="12" spans="1:47" s="5" customFormat="1" ht="12.75">
      <c r="A12" s="5" t="s">
        <v>182</v>
      </c>
      <c r="B12" s="139">
        <v>8000</v>
      </c>
      <c r="C12" s="139">
        <v>8000</v>
      </c>
      <c r="D12" s="139">
        <v>8000</v>
      </c>
      <c r="E12" s="139">
        <v>8000</v>
      </c>
      <c r="F12" s="139">
        <v>8000</v>
      </c>
      <c r="G12" s="139">
        <v>8000</v>
      </c>
      <c r="H12" s="139">
        <v>8000</v>
      </c>
      <c r="I12" s="139">
        <v>8000</v>
      </c>
      <c r="J12" s="139">
        <v>8000</v>
      </c>
      <c r="K12" s="139">
        <f t="shared" si="0"/>
        <v>8000</v>
      </c>
      <c r="M12" s="140" t="s">
        <v>183</v>
      </c>
      <c r="N12" s="4"/>
      <c r="O12" s="4"/>
      <c r="P12" s="4"/>
      <c r="Q12" s="4"/>
      <c r="R12" s="4"/>
      <c r="S12" s="4"/>
      <c r="T12" s="135"/>
      <c r="AH12"/>
      <c r="AI12"/>
      <c r="AJ12"/>
      <c r="AK12"/>
      <c r="AL12"/>
      <c r="AM12"/>
      <c r="AN12"/>
      <c r="AO12"/>
      <c r="AP12"/>
      <c r="AQ12"/>
      <c r="AR12"/>
      <c r="AS12"/>
      <c r="AT12"/>
      <c r="AU12"/>
    </row>
    <row r="13" spans="1:47" s="5" customFormat="1" ht="13.5" thickBot="1">
      <c r="A13" s="5" t="s">
        <v>342</v>
      </c>
      <c r="B13" s="295">
        <f>B12/(B11*365)</f>
        <v>7.30593607305936</v>
      </c>
      <c r="C13" s="295">
        <f aca="true" t="shared" si="4" ref="C13:K13">C12/(C11*365)</f>
        <v>5.47945205479452</v>
      </c>
      <c r="D13" s="295">
        <f t="shared" si="4"/>
        <v>10.95890410958904</v>
      </c>
      <c r="E13" s="295">
        <f t="shared" si="4"/>
        <v>21.91780821917808</v>
      </c>
      <c r="F13" s="295">
        <f t="shared" si="4"/>
        <v>21.91780821917808</v>
      </c>
      <c r="G13" s="141">
        <f t="shared" si="4"/>
        <v>5.47945205479452</v>
      </c>
      <c r="H13" s="141">
        <f t="shared" si="4"/>
        <v>10.95890410958904</v>
      </c>
      <c r="I13" s="141">
        <f t="shared" si="2"/>
        <v>12.942351598173518</v>
      </c>
      <c r="J13" s="141">
        <f t="shared" si="3"/>
        <v>8.767123287671232</v>
      </c>
      <c r="K13" s="141">
        <f t="shared" si="4"/>
        <v>9.294657926757466</v>
      </c>
      <c r="M13" s="142" t="s">
        <v>184</v>
      </c>
      <c r="N13" s="143"/>
      <c r="O13" s="143"/>
      <c r="P13" s="143"/>
      <c r="Q13" s="143"/>
      <c r="R13" s="143"/>
      <c r="S13" s="143"/>
      <c r="T13" s="144"/>
      <c r="AH13"/>
      <c r="AI13"/>
      <c r="AJ13"/>
      <c r="AK13"/>
      <c r="AL13"/>
      <c r="AM13"/>
      <c r="AN13"/>
      <c r="AO13"/>
      <c r="AP13"/>
      <c r="AQ13"/>
      <c r="AR13"/>
      <c r="AS13"/>
      <c r="AT13"/>
      <c r="AU13"/>
    </row>
    <row r="14" spans="1:47" s="5" customFormat="1" ht="12.75">
      <c r="A14" s="5" t="s">
        <v>455</v>
      </c>
      <c r="B14" s="145">
        <f>'CFL Data'!$C$20</f>
        <v>5.75</v>
      </c>
      <c r="C14" s="145">
        <f>'CFL Data'!$C$21</f>
        <v>6</v>
      </c>
      <c r="D14" s="145">
        <f>'CFL Data'!$C$23</f>
        <v>6.5</v>
      </c>
      <c r="E14" s="145">
        <f>'CFL Data'!$C$23</f>
        <v>6.5</v>
      </c>
      <c r="F14" s="145">
        <f>'CFL Data'!$C$23</f>
        <v>6.5</v>
      </c>
      <c r="G14" s="145">
        <f>'CFL Data'!$C$22</f>
        <v>6.3</v>
      </c>
      <c r="H14" s="145">
        <f>'CFL Data'!$C$22</f>
        <v>6.3</v>
      </c>
      <c r="I14" s="145">
        <f>SUMPRODUCT(B$7:F$7,B14:F14)</f>
        <v>6.240234375</v>
      </c>
      <c r="J14" s="145">
        <f>SUMPRODUCT(G$7:H$7,G14:H14)</f>
        <v>6.3</v>
      </c>
      <c r="K14" s="145">
        <f>SUMPRODUCT(I$7:J$7,I14:J14)</f>
        <v>6.248310810810811</v>
      </c>
      <c r="M14" s="4"/>
      <c r="N14" s="4"/>
      <c r="O14" s="4"/>
      <c r="P14" s="4"/>
      <c r="Q14" s="4"/>
      <c r="R14" s="4"/>
      <c r="S14" s="4"/>
      <c r="T14" s="4"/>
      <c r="AH14"/>
      <c r="AI14"/>
      <c r="AJ14"/>
      <c r="AK14"/>
      <c r="AL14"/>
      <c r="AM14"/>
      <c r="AN14"/>
      <c r="AO14"/>
      <c r="AP14"/>
      <c r="AQ14"/>
      <c r="AR14"/>
      <c r="AS14"/>
      <c r="AT14"/>
      <c r="AU14"/>
    </row>
    <row r="15" spans="1:47" s="5" customFormat="1" ht="12.75">
      <c r="A15" s="5" t="s">
        <v>454</v>
      </c>
      <c r="B15" s="295">
        <f>'Res Lighting Fixtures and Use'!L26</f>
        <v>5</v>
      </c>
      <c r="C15" s="295">
        <f>'Res Lighting Fixtures and Use'!M26</f>
        <v>5.8</v>
      </c>
      <c r="D15" s="295">
        <f>'Res Lighting Fixtures and Use'!N26</f>
        <v>5.6</v>
      </c>
      <c r="E15" s="295">
        <f>'Res Lighting Fixtures and Use'!O26</f>
        <v>5.2</v>
      </c>
      <c r="F15" s="295">
        <f>'Res Lighting Fixtures and Use'!P26</f>
        <v>4</v>
      </c>
      <c r="G15" s="141">
        <f>'Res Lighting Fixtures and Use'!Q26</f>
        <v>1.6</v>
      </c>
      <c r="H15" s="141">
        <f>'Res Lighting Fixtures and Use'!R26</f>
        <v>2.4</v>
      </c>
      <c r="I15" s="141">
        <f>SUMPRODUCT(B$7:F$7,B15:F15)</f>
        <v>5.196875</v>
      </c>
      <c r="J15" s="141">
        <f>SUMPRODUCT(G$7:H$7,G15:H15)</f>
        <v>2.08</v>
      </c>
      <c r="K15" s="141">
        <f>SUMPRODUCT(I$7:J$7,I15:J15)</f>
        <v>4.775675675675676</v>
      </c>
      <c r="M15" s="4"/>
      <c r="N15" s="4"/>
      <c r="O15" s="4"/>
      <c r="P15" s="4"/>
      <c r="Q15" s="4"/>
      <c r="R15" s="4"/>
      <c r="S15" s="4"/>
      <c r="T15" s="4"/>
      <c r="AH15"/>
      <c r="AI15"/>
      <c r="AJ15"/>
      <c r="AK15"/>
      <c r="AL15"/>
      <c r="AM15"/>
      <c r="AN15"/>
      <c r="AO15"/>
      <c r="AP15"/>
      <c r="AQ15"/>
      <c r="AR15"/>
      <c r="AS15"/>
      <c r="AT15"/>
      <c r="AU15"/>
    </row>
    <row r="16" spans="1:48" s="5" customFormat="1" ht="12.75">
      <c r="A16" s="5" t="s">
        <v>476</v>
      </c>
      <c r="B16" s="145">
        <f>'CFL Data'!$C$20</f>
        <v>5.75</v>
      </c>
      <c r="C16" s="145">
        <f>'CFL Data'!$C$21</f>
        <v>6</v>
      </c>
      <c r="D16" s="145">
        <f>'CFL Data'!$C$23</f>
        <v>6.5</v>
      </c>
      <c r="E16" s="145">
        <f>'CFL Data'!$C$23</f>
        <v>6.5</v>
      </c>
      <c r="F16" s="145">
        <f>'CFL Data'!$C$23</f>
        <v>6.5</v>
      </c>
      <c r="G16" s="145">
        <f>'CFL Data'!$C$22</f>
        <v>6.3</v>
      </c>
      <c r="H16" s="145">
        <f>'CFL Data'!$C$22</f>
        <v>6.3</v>
      </c>
      <c r="I16" s="145">
        <f t="shared" si="2"/>
        <v>6.240234375</v>
      </c>
      <c r="J16" s="145">
        <f t="shared" si="3"/>
        <v>6.3</v>
      </c>
      <c r="K16" s="145">
        <f t="shared" si="0"/>
        <v>6.248310810810811</v>
      </c>
      <c r="M16"/>
      <c r="N16"/>
      <c r="O16"/>
      <c r="P16"/>
      <c r="Q16"/>
      <c r="R16"/>
      <c r="S16"/>
      <c r="T16"/>
      <c r="U16"/>
      <c r="V16"/>
      <c r="W16"/>
      <c r="X16"/>
      <c r="Y16"/>
      <c r="Z16"/>
      <c r="AA16"/>
      <c r="AB16"/>
      <c r="AC16"/>
      <c r="AD16"/>
      <c r="AE16"/>
      <c r="AF16"/>
      <c r="AG16"/>
      <c r="AH16"/>
      <c r="AI16"/>
      <c r="AJ16"/>
      <c r="AK16"/>
      <c r="AL16"/>
      <c r="AM16"/>
      <c r="AN16"/>
      <c r="AO16"/>
      <c r="AP16"/>
      <c r="AQ16"/>
      <c r="AR16"/>
      <c r="AS16"/>
      <c r="AT16"/>
      <c r="AU16"/>
      <c r="AV16"/>
    </row>
    <row r="17" spans="1:48" s="5" customFormat="1" ht="12" customHeight="1">
      <c r="A17" s="5" t="s">
        <v>477</v>
      </c>
      <c r="B17" s="146">
        <f aca="true" t="shared" si="5" ref="B17:H17">(B15*B16)-B26</f>
        <v>25.625</v>
      </c>
      <c r="C17" s="146">
        <f t="shared" si="5"/>
        <v>31.674999999999997</v>
      </c>
      <c r="D17" s="146">
        <f t="shared" si="5"/>
        <v>33.275</v>
      </c>
      <c r="E17" s="146">
        <f t="shared" si="5"/>
        <v>30.675000000000004</v>
      </c>
      <c r="F17" s="146">
        <f t="shared" si="5"/>
        <v>22.875</v>
      </c>
      <c r="G17" s="146">
        <f t="shared" si="5"/>
        <v>6.955</v>
      </c>
      <c r="H17" s="146">
        <f t="shared" si="5"/>
        <v>11.995</v>
      </c>
      <c r="I17" s="146">
        <f t="shared" si="2"/>
        <v>29.265234375000002</v>
      </c>
      <c r="J17" s="146">
        <f t="shared" si="3"/>
        <v>9.979</v>
      </c>
      <c r="K17" s="146">
        <f t="shared" si="0"/>
        <v>26.65898648648649</v>
      </c>
      <c r="M17"/>
      <c r="N17"/>
      <c r="O17"/>
      <c r="P17"/>
      <c r="Q17"/>
      <c r="R17"/>
      <c r="S17"/>
      <c r="T17"/>
      <c r="U17"/>
      <c r="V17"/>
      <c r="W17"/>
      <c r="X17"/>
      <c r="Y17"/>
      <c r="Z17"/>
      <c r="AA17"/>
      <c r="AB17"/>
      <c r="AC17"/>
      <c r="AD17"/>
      <c r="AE17"/>
      <c r="AF17"/>
      <c r="AG17"/>
      <c r="AH17"/>
      <c r="AI17"/>
      <c r="AJ17"/>
      <c r="AK17"/>
      <c r="AL17"/>
      <c r="AM17"/>
      <c r="AN17"/>
      <c r="AO17"/>
      <c r="AP17"/>
      <c r="AQ17"/>
      <c r="AR17"/>
      <c r="AS17"/>
      <c r="AT17"/>
      <c r="AU17"/>
      <c r="AV17"/>
    </row>
    <row r="18" spans="1:48" s="5" customFormat="1" ht="12.75">
      <c r="A18" s="5" t="s">
        <v>185</v>
      </c>
      <c r="B18" s="148">
        <v>0.12</v>
      </c>
      <c r="C18" s="148">
        <v>0.12</v>
      </c>
      <c r="D18" s="148">
        <v>0.12</v>
      </c>
      <c r="E18" s="148">
        <v>0.12</v>
      </c>
      <c r="F18" s="148">
        <v>0.12</v>
      </c>
      <c r="G18" s="148">
        <v>0.12</v>
      </c>
      <c r="H18" s="148">
        <v>0.12</v>
      </c>
      <c r="I18" s="148">
        <f t="shared" si="2"/>
        <v>0.12000000000000001</v>
      </c>
      <c r="J18" s="148">
        <f t="shared" si="3"/>
        <v>0.12</v>
      </c>
      <c r="K18" s="148">
        <f t="shared" si="0"/>
        <v>0.12000000000000001</v>
      </c>
      <c r="M18"/>
      <c r="N18"/>
      <c r="O18"/>
      <c r="P18"/>
      <c r="Q18"/>
      <c r="R18"/>
      <c r="S18"/>
      <c r="T18"/>
      <c r="U18"/>
      <c r="V18"/>
      <c r="W18"/>
      <c r="X18"/>
      <c r="Y18"/>
      <c r="Z18"/>
      <c r="AA18"/>
      <c r="AB18"/>
      <c r="AC18"/>
      <c r="AD18"/>
      <c r="AE18"/>
      <c r="AF18"/>
      <c r="AG18"/>
      <c r="AH18"/>
      <c r="AI18"/>
      <c r="AJ18"/>
      <c r="AK18"/>
      <c r="AL18"/>
      <c r="AM18"/>
      <c r="AN18"/>
      <c r="AO18"/>
      <c r="AP18"/>
      <c r="AQ18"/>
      <c r="AR18"/>
      <c r="AS18"/>
      <c r="AT18"/>
      <c r="AU18"/>
      <c r="AV18"/>
    </row>
    <row r="19" spans="1:48" s="5" customFormat="1" ht="12.75">
      <c r="A19" s="5" t="s">
        <v>186</v>
      </c>
      <c r="B19" s="148">
        <v>0.05</v>
      </c>
      <c r="C19" s="148">
        <v>0.05</v>
      </c>
      <c r="D19" s="148">
        <v>0.05</v>
      </c>
      <c r="E19" s="148">
        <v>0.05</v>
      </c>
      <c r="F19" s="148">
        <v>0.05</v>
      </c>
      <c r="G19" s="148">
        <v>0.2</v>
      </c>
      <c r="H19" s="148">
        <v>0.2</v>
      </c>
      <c r="I19" s="148">
        <f t="shared" si="2"/>
        <v>0.05</v>
      </c>
      <c r="J19" s="148">
        <f t="shared" si="3"/>
        <v>0.2</v>
      </c>
      <c r="K19" s="148">
        <f t="shared" si="0"/>
        <v>0.07027027027027027</v>
      </c>
      <c r="M19"/>
      <c r="N19"/>
      <c r="O19"/>
      <c r="P19"/>
      <c r="Q19"/>
      <c r="R19"/>
      <c r="S19"/>
      <c r="T19"/>
      <c r="U19"/>
      <c r="V19"/>
      <c r="W19"/>
      <c r="X19"/>
      <c r="Y19"/>
      <c r="Z19"/>
      <c r="AA19"/>
      <c r="AB19"/>
      <c r="AC19"/>
      <c r="AD19"/>
      <c r="AE19"/>
      <c r="AF19"/>
      <c r="AG19"/>
      <c r="AH19"/>
      <c r="AI19"/>
      <c r="AJ19"/>
      <c r="AK19"/>
      <c r="AL19"/>
      <c r="AM19"/>
      <c r="AN19"/>
      <c r="AO19"/>
      <c r="AP19"/>
      <c r="AQ19"/>
      <c r="AR19"/>
      <c r="AS19"/>
      <c r="AT19"/>
      <c r="AU19"/>
      <c r="AV19"/>
    </row>
    <row r="20" spans="1:48" s="5" customFormat="1" ht="12.75">
      <c r="A20" s="5" t="s">
        <v>338</v>
      </c>
      <c r="B20" s="148">
        <f>'Space Conditioning Interaction'!$B27</f>
        <v>0.11311408490416483</v>
      </c>
      <c r="C20" s="148">
        <f>'Space Conditioning Interaction'!$B27</f>
        <v>0.11311408490416483</v>
      </c>
      <c r="D20" s="148">
        <f>'Space Conditioning Interaction'!$B27</f>
        <v>0.11311408490416483</v>
      </c>
      <c r="E20" s="148">
        <f>'Space Conditioning Interaction'!$B27</f>
        <v>0.11311408490416483</v>
      </c>
      <c r="F20" s="148">
        <f>'Space Conditioning Interaction'!$B27</f>
        <v>0.11311408490416483</v>
      </c>
      <c r="G20" s="147">
        <f>'Space Conditioning Interaction'!$C$27</f>
        <v>0</v>
      </c>
      <c r="H20" s="147">
        <f>'Space Conditioning Interaction'!$C27</f>
        <v>0</v>
      </c>
      <c r="I20" s="147">
        <f t="shared" si="2"/>
        <v>0.11311408490416483</v>
      </c>
      <c r="J20" s="147">
        <f t="shared" si="3"/>
        <v>0</v>
      </c>
      <c r="K20" s="148">
        <f t="shared" si="0"/>
        <v>0.09782839775495338</v>
      </c>
      <c r="M20"/>
      <c r="N20"/>
      <c r="O20"/>
      <c r="P20"/>
      <c r="Q20"/>
      <c r="R20"/>
      <c r="S20"/>
      <c r="T20"/>
      <c r="U20"/>
      <c r="V20"/>
      <c r="W20"/>
      <c r="X20"/>
      <c r="Y20"/>
      <c r="Z20"/>
      <c r="AA20"/>
      <c r="AB20"/>
      <c r="AC20"/>
      <c r="AD20"/>
      <c r="AE20"/>
      <c r="AF20"/>
      <c r="AG20"/>
      <c r="AH20"/>
      <c r="AI20"/>
      <c r="AJ20"/>
      <c r="AK20"/>
      <c r="AL20"/>
      <c r="AM20"/>
      <c r="AN20"/>
      <c r="AO20"/>
      <c r="AP20"/>
      <c r="AQ20"/>
      <c r="AR20"/>
      <c r="AS20"/>
      <c r="AT20"/>
      <c r="AU20"/>
      <c r="AV20"/>
    </row>
    <row r="21" spans="1:48" s="5" customFormat="1" ht="12.75">
      <c r="A21" s="5" t="s">
        <v>187</v>
      </c>
      <c r="B21" s="145">
        <v>0.625</v>
      </c>
      <c r="C21" s="145">
        <f aca="true" t="shared" si="6" ref="C21:H21">B21</f>
        <v>0.625</v>
      </c>
      <c r="D21" s="145">
        <f t="shared" si="6"/>
        <v>0.625</v>
      </c>
      <c r="E21" s="145">
        <f t="shared" si="6"/>
        <v>0.625</v>
      </c>
      <c r="F21" s="145">
        <f t="shared" si="6"/>
        <v>0.625</v>
      </c>
      <c r="G21" s="145">
        <f t="shared" si="6"/>
        <v>0.625</v>
      </c>
      <c r="H21" s="145">
        <f t="shared" si="6"/>
        <v>0.625</v>
      </c>
      <c r="I21" s="145">
        <f>SUMPRODUCT(B$7:F$7,B21:F21)</f>
        <v>0.625</v>
      </c>
      <c r="J21" s="145">
        <f>SUMPRODUCT(G$7:H$7,G21:H21)</f>
        <v>0.625</v>
      </c>
      <c r="K21" s="145">
        <f t="shared" si="0"/>
        <v>0.625</v>
      </c>
      <c r="M21"/>
      <c r="N21"/>
      <c r="O21"/>
      <c r="P21"/>
      <c r="Q21"/>
      <c r="R21"/>
      <c r="S21"/>
      <c r="T21"/>
      <c r="U21"/>
      <c r="V21"/>
      <c r="W21"/>
      <c r="X21"/>
      <c r="Y21"/>
      <c r="Z21"/>
      <c r="AA21"/>
      <c r="AB21"/>
      <c r="AC21"/>
      <c r="AD21"/>
      <c r="AE21"/>
      <c r="AF21"/>
      <c r="AG21"/>
      <c r="AH21"/>
      <c r="AI21"/>
      <c r="AJ21"/>
      <c r="AK21"/>
      <c r="AL21"/>
      <c r="AM21"/>
      <c r="AN21"/>
      <c r="AO21"/>
      <c r="AP21"/>
      <c r="AQ21"/>
      <c r="AR21"/>
      <c r="AS21"/>
      <c r="AT21"/>
      <c r="AU21"/>
      <c r="AV21"/>
    </row>
    <row r="22" spans="1:48" s="5" customFormat="1" ht="12.75">
      <c r="A22" s="5" t="s">
        <v>188</v>
      </c>
      <c r="B22" s="299">
        <f aca="true" t="shared" si="7" ref="B22:H22">B12/750</f>
        <v>10.666666666666666</v>
      </c>
      <c r="C22" s="299">
        <f t="shared" si="7"/>
        <v>10.666666666666666</v>
      </c>
      <c r="D22" s="299">
        <f t="shared" si="7"/>
        <v>10.666666666666666</v>
      </c>
      <c r="E22" s="299">
        <f t="shared" si="7"/>
        <v>10.666666666666666</v>
      </c>
      <c r="F22" s="299">
        <f t="shared" si="7"/>
        <v>10.666666666666666</v>
      </c>
      <c r="G22" s="299">
        <f t="shared" si="7"/>
        <v>10.666666666666666</v>
      </c>
      <c r="H22" s="299">
        <f t="shared" si="7"/>
        <v>10.666666666666666</v>
      </c>
      <c r="I22" s="299">
        <f t="shared" si="2"/>
        <v>10.666666666666666</v>
      </c>
      <c r="J22" s="299">
        <f t="shared" si="3"/>
        <v>10.666666666666666</v>
      </c>
      <c r="K22" s="299">
        <f t="shared" si="0"/>
        <v>10.666666666666666</v>
      </c>
      <c r="M22"/>
      <c r="N22"/>
      <c r="O22"/>
      <c r="P22"/>
      <c r="Q22"/>
      <c r="R22"/>
      <c r="S22"/>
      <c r="T22"/>
      <c r="U22"/>
      <c r="V22"/>
      <c r="W22"/>
      <c r="X22"/>
      <c r="Y22"/>
      <c r="Z22"/>
      <c r="AA22"/>
      <c r="AB22"/>
      <c r="AC22"/>
      <c r="AD22"/>
      <c r="AE22"/>
      <c r="AF22"/>
      <c r="AG22"/>
      <c r="AH22"/>
      <c r="AI22"/>
      <c r="AJ22"/>
      <c r="AK22"/>
      <c r="AL22"/>
      <c r="AM22"/>
      <c r="AN22"/>
      <c r="AO22"/>
      <c r="AP22"/>
      <c r="AQ22"/>
      <c r="AR22"/>
      <c r="AS22"/>
      <c r="AT22"/>
      <c r="AU22"/>
      <c r="AV22"/>
    </row>
    <row r="23" spans="1:48" s="5" customFormat="1" ht="12.75">
      <c r="A23" s="5" t="s">
        <v>189</v>
      </c>
      <c r="B23" s="149">
        <f>(B11*365)*(B10/1000)*(1-B18)*(1-B104)</f>
        <v>264.99</v>
      </c>
      <c r="C23" s="149">
        <f>(C11*365)*(C10/1000)*(1-C18)*(1-C104)</f>
        <v>409.8512</v>
      </c>
      <c r="D23" s="149">
        <f>(D11*365)*(D10/1000)*(1-D18)*(1-D104)</f>
        <v>197.85920000000002</v>
      </c>
      <c r="E23" s="149">
        <f>(E11*365)*(E10/1000)*(1-E18)*(1-E104)</f>
        <v>71.82032000000001</v>
      </c>
      <c r="F23" s="149">
        <f>(F11*365)*(F10/1000)*(1-F18)*(1-E104)</f>
        <v>70.664</v>
      </c>
      <c r="G23" s="149">
        <f>(G11*365)*(G10/1000)*(1-G18)*(1-F104)</f>
        <v>113.0624</v>
      </c>
      <c r="H23" s="149">
        <f>(H11*365)*(H10/1000)*(1-H18)*(1-G104)</f>
        <v>66.29568</v>
      </c>
      <c r="I23" s="149">
        <f t="shared" si="2"/>
        <v>213.52422437500002</v>
      </c>
      <c r="J23" s="149">
        <f t="shared" si="3"/>
        <v>85.002368</v>
      </c>
      <c r="K23" s="149">
        <f t="shared" si="0"/>
        <v>196.15640594594598</v>
      </c>
      <c r="M23"/>
      <c r="N23"/>
      <c r="O23"/>
      <c r="P23"/>
      <c r="Q23"/>
      <c r="R23"/>
      <c r="S23"/>
      <c r="T23"/>
      <c r="U23"/>
      <c r="V23"/>
      <c r="W23"/>
      <c r="X23"/>
      <c r="Y23"/>
      <c r="Z23"/>
      <c r="AA23"/>
      <c r="AB23"/>
      <c r="AC23"/>
      <c r="AD23"/>
      <c r="AE23"/>
      <c r="AF23"/>
      <c r="AG23"/>
      <c r="AH23"/>
      <c r="AI23"/>
      <c r="AJ23"/>
      <c r="AK23"/>
      <c r="AL23"/>
      <c r="AM23"/>
      <c r="AN23"/>
      <c r="AO23"/>
      <c r="AP23"/>
      <c r="AQ23"/>
      <c r="AR23"/>
      <c r="AS23"/>
      <c r="AT23"/>
      <c r="AU23"/>
      <c r="AV23"/>
    </row>
    <row r="24" spans="1:11" ht="13.5" thickBot="1">
      <c r="A24" s="5" t="s">
        <v>190</v>
      </c>
      <c r="B24" s="150">
        <f aca="true" t="shared" si="8" ref="B24:H24">(B11*365)*(B10/1000)*(1-B18)*(1-B20)*(1-B19)</f>
        <v>223.26510370918308</v>
      </c>
      <c r="C24" s="150">
        <f t="shared" si="8"/>
        <v>345.3166937368698</v>
      </c>
      <c r="D24" s="150">
        <f t="shared" si="8"/>
        <v>166.70461076952338</v>
      </c>
      <c r="E24" s="150">
        <f t="shared" si="8"/>
        <v>60.51160871439193</v>
      </c>
      <c r="F24" s="150">
        <f t="shared" si="8"/>
        <v>59.537360989115484</v>
      </c>
      <c r="G24" s="150">
        <f t="shared" si="8"/>
        <v>90.44992</v>
      </c>
      <c r="H24" s="150">
        <f t="shared" si="8"/>
        <v>53.036544000000006</v>
      </c>
      <c r="I24" s="150">
        <f t="shared" si="2"/>
        <v>179.9030457734528</v>
      </c>
      <c r="J24" s="150">
        <f t="shared" si="3"/>
        <v>68.0018944</v>
      </c>
      <c r="K24" s="150">
        <f t="shared" si="0"/>
        <v>164.78126856082406</v>
      </c>
    </row>
    <row r="25" spans="1:6" ht="13.5" thickBot="1">
      <c r="A25" s="151" t="s">
        <v>191</v>
      </c>
      <c r="B25" s="296"/>
      <c r="C25" s="296"/>
      <c r="D25" s="296"/>
      <c r="E25" s="296"/>
      <c r="F25" s="296"/>
    </row>
    <row r="26" spans="1:11" ht="12.75">
      <c r="A26" s="90" t="s">
        <v>479</v>
      </c>
      <c r="B26" s="152">
        <f>B15*B21</f>
        <v>3.125</v>
      </c>
      <c r="C26" s="152">
        <f aca="true" t="shared" si="9" ref="C26:H26">B26</f>
        <v>3.125</v>
      </c>
      <c r="D26" s="152">
        <f t="shared" si="9"/>
        <v>3.125</v>
      </c>
      <c r="E26" s="152">
        <f t="shared" si="9"/>
        <v>3.125</v>
      </c>
      <c r="F26" s="152">
        <f t="shared" si="9"/>
        <v>3.125</v>
      </c>
      <c r="G26" s="152">
        <f t="shared" si="9"/>
        <v>3.125</v>
      </c>
      <c r="H26" s="152">
        <f t="shared" si="9"/>
        <v>3.125</v>
      </c>
      <c r="I26" s="152">
        <f t="shared" si="2"/>
        <v>3.125</v>
      </c>
      <c r="J26" s="152">
        <f t="shared" si="3"/>
        <v>3.125</v>
      </c>
      <c r="K26" s="152">
        <f>SUMPRODUCT(I$7:J$7,I26:J26)</f>
        <v>3.125</v>
      </c>
    </row>
    <row r="27" spans="1:11" ht="12.75">
      <c r="A27" s="90" t="s">
        <v>192</v>
      </c>
      <c r="B27" s="153">
        <f>B21*B22</f>
        <v>6.666666666666666</v>
      </c>
      <c r="C27" s="153">
        <f aca="true" t="shared" si="10" ref="C27:H27">C21*C22</f>
        <v>6.666666666666666</v>
      </c>
      <c r="D27" s="153">
        <f t="shared" si="10"/>
        <v>6.666666666666666</v>
      </c>
      <c r="E27" s="153">
        <f t="shared" si="10"/>
        <v>6.666666666666666</v>
      </c>
      <c r="F27" s="153">
        <f t="shared" si="10"/>
        <v>6.666666666666666</v>
      </c>
      <c r="G27" s="153">
        <f t="shared" si="10"/>
        <v>6.666666666666666</v>
      </c>
      <c r="H27" s="153">
        <f t="shared" si="10"/>
        <v>6.666666666666666</v>
      </c>
      <c r="I27" s="153">
        <f t="shared" si="2"/>
        <v>6.666666666666666</v>
      </c>
      <c r="J27" s="153">
        <f t="shared" si="3"/>
        <v>6.666666666666666</v>
      </c>
      <c r="K27" s="153">
        <f>SUMPRODUCT(I$7:J$7,I27:J27)</f>
        <v>6.666666666666666</v>
      </c>
    </row>
    <row r="28" spans="1:11" ht="13.5" thickBot="1">
      <c r="A28" s="90" t="s">
        <v>193</v>
      </c>
      <c r="B28" s="154">
        <f aca="true" t="shared" si="11" ref="B28:H28">B27/B13</f>
        <v>0.9125</v>
      </c>
      <c r="C28" s="154">
        <f t="shared" si="11"/>
        <v>1.2166666666666666</v>
      </c>
      <c r="D28" s="154">
        <f t="shared" si="11"/>
        <v>0.6083333333333333</v>
      </c>
      <c r="E28" s="154">
        <f t="shared" si="11"/>
        <v>0.30416666666666664</v>
      </c>
      <c r="F28" s="154">
        <f t="shared" si="11"/>
        <v>0.30416666666666664</v>
      </c>
      <c r="G28" s="154">
        <f t="shared" si="11"/>
        <v>1.2166666666666666</v>
      </c>
      <c r="H28" s="154">
        <f t="shared" si="11"/>
        <v>0.6083333333333333</v>
      </c>
      <c r="I28" s="154">
        <f t="shared" si="2"/>
        <v>0.6962565104166666</v>
      </c>
      <c r="J28" s="154">
        <f t="shared" si="3"/>
        <v>0.8516666666666666</v>
      </c>
      <c r="K28" s="154">
        <f>K27/K13</f>
        <v>0.717257882882883</v>
      </c>
    </row>
    <row r="30" ht="12.75">
      <c r="A30" t="s">
        <v>480</v>
      </c>
    </row>
  </sheetData>
  <mergeCells count="1">
    <mergeCell ref="R6:T6"/>
  </mergeCells>
  <printOptions gridLines="1"/>
  <pageMargins left="0.75" right="0.75" top="1" bottom="1" header="0.5" footer="0.5"/>
  <pageSetup blackAndWhite="1" fitToHeight="1" fitToWidth="1" horizontalDpi="300" verticalDpi="300" orientation="landscape" r:id="rId3"/>
  <legacyDrawing r:id="rId2"/>
</worksheet>
</file>

<file path=xl/worksheets/sheet5.xml><?xml version="1.0" encoding="utf-8"?>
<worksheet xmlns="http://schemas.openxmlformats.org/spreadsheetml/2006/main" xmlns:r="http://schemas.openxmlformats.org/officeDocument/2006/relationships">
  <sheetPr codeName="Sheet9"/>
  <dimension ref="A1:W43"/>
  <sheetViews>
    <sheetView zoomScale="72" zoomScaleNormal="72" workbookViewId="0" topLeftCell="K17">
      <selection activeCell="R58" sqref="R58"/>
    </sheetView>
  </sheetViews>
  <sheetFormatPr defaultColWidth="9.140625" defaultRowHeight="12.75"/>
  <cols>
    <col min="1" max="1" width="30.8515625" style="5" customWidth="1"/>
    <col min="2" max="2" width="17.28125" style="5" customWidth="1"/>
    <col min="3" max="4" width="16.421875" style="5" customWidth="1"/>
    <col min="5" max="5" width="9.140625" style="5" customWidth="1"/>
    <col min="6" max="6" width="12.421875" style="5" customWidth="1"/>
    <col min="7" max="10" width="9.140625" style="5" customWidth="1"/>
    <col min="11" max="11" width="41.57421875" style="5" customWidth="1"/>
    <col min="12" max="12" width="10.421875" style="5" customWidth="1"/>
    <col min="13" max="13" width="14.00390625" style="5" customWidth="1"/>
    <col min="14" max="14" width="12.8515625" style="5" customWidth="1"/>
    <col min="15" max="15" width="15.00390625" style="5" customWidth="1"/>
    <col min="16" max="16" width="14.8515625" style="5" customWidth="1"/>
    <col min="17" max="17" width="12.57421875" style="5" customWidth="1"/>
    <col min="18" max="18" width="13.00390625" style="5" customWidth="1"/>
    <col min="19" max="19" width="20.00390625" style="5" customWidth="1"/>
    <col min="20" max="20" width="18.140625" style="5" customWidth="1"/>
    <col min="21" max="21" width="21.57421875" style="5" customWidth="1"/>
    <col min="22" max="16384" width="9.140625" style="5" customWidth="1"/>
  </cols>
  <sheetData>
    <row r="1" spans="11:14" ht="12.75">
      <c r="K1" s="241"/>
      <c r="M1" s="235"/>
      <c r="N1" s="236"/>
    </row>
    <row r="2" spans="1:15" ht="15.75">
      <c r="A2" s="246" t="s">
        <v>407</v>
      </c>
      <c r="B2"/>
      <c r="C2"/>
      <c r="D2"/>
      <c r="E2"/>
      <c r="F2"/>
      <c r="K2" s="307" t="s">
        <v>399</v>
      </c>
      <c r="L2" s="307"/>
      <c r="M2" s="307"/>
      <c r="N2" s="307"/>
      <c r="O2" s="307"/>
    </row>
    <row r="3" spans="1:18" ht="51">
      <c r="A3" s="247" t="s">
        <v>408</v>
      </c>
      <c r="B3" s="248" t="s">
        <v>422</v>
      </c>
      <c r="C3" s="248" t="s">
        <v>423</v>
      </c>
      <c r="D3" s="248" t="s">
        <v>424</v>
      </c>
      <c r="E3" s="248" t="s">
        <v>409</v>
      </c>
      <c r="F3" s="249" t="s">
        <v>425</v>
      </c>
      <c r="G3" s="256" t="s">
        <v>426</v>
      </c>
      <c r="K3" s="251" t="s">
        <v>405</v>
      </c>
      <c r="L3" s="237" t="s">
        <v>427</v>
      </c>
      <c r="M3" s="239" t="s">
        <v>428</v>
      </c>
      <c r="N3" s="251" t="s">
        <v>393</v>
      </c>
      <c r="O3" s="237" t="s">
        <v>429</v>
      </c>
      <c r="Q3" s="237" t="s">
        <v>405</v>
      </c>
      <c r="R3" s="237" t="s">
        <v>394</v>
      </c>
    </row>
    <row r="4" spans="1:18" ht="13.5" thickBot="1">
      <c r="A4" s="238">
        <v>1</v>
      </c>
      <c r="B4" s="238" t="s">
        <v>410</v>
      </c>
      <c r="C4" s="250">
        <v>1179</v>
      </c>
      <c r="D4" s="251"/>
      <c r="E4" s="239">
        <v>50</v>
      </c>
      <c r="F4" s="251"/>
      <c r="G4" s="224"/>
      <c r="K4" s="237" t="s">
        <v>386</v>
      </c>
      <c r="L4" s="238">
        <v>252</v>
      </c>
      <c r="M4" s="239">
        <v>2.5</v>
      </c>
      <c r="N4" s="239">
        <v>3.1</v>
      </c>
      <c r="O4" s="240">
        <v>3.8</v>
      </c>
      <c r="Q4" s="242" t="s">
        <v>395</v>
      </c>
      <c r="R4" s="243">
        <v>3</v>
      </c>
    </row>
    <row r="5" spans="1:18" ht="13.5" thickBot="1">
      <c r="A5" s="238">
        <v>2</v>
      </c>
      <c r="B5" s="238" t="s">
        <v>411</v>
      </c>
      <c r="C5" s="238">
        <v>815</v>
      </c>
      <c r="D5" s="251"/>
      <c r="E5" s="239">
        <v>51</v>
      </c>
      <c r="F5" s="251"/>
      <c r="G5" s="224"/>
      <c r="K5" s="237" t="s">
        <v>387</v>
      </c>
      <c r="L5" s="238">
        <v>292</v>
      </c>
      <c r="M5" s="239">
        <v>2.9</v>
      </c>
      <c r="N5" s="239">
        <v>3.9</v>
      </c>
      <c r="O5" s="240">
        <v>4.2</v>
      </c>
      <c r="Q5" s="242" t="s">
        <v>396</v>
      </c>
      <c r="R5" s="243">
        <v>4</v>
      </c>
    </row>
    <row r="6" spans="1:18" ht="26.25" thickBot="1">
      <c r="A6" s="238" t="s">
        <v>412</v>
      </c>
      <c r="B6" s="238" t="s">
        <v>413</v>
      </c>
      <c r="C6" s="251"/>
      <c r="D6" s="250">
        <v>1990</v>
      </c>
      <c r="E6" s="239">
        <v>101</v>
      </c>
      <c r="F6" s="238">
        <v>80</v>
      </c>
      <c r="G6" s="255">
        <f>F6/F12</f>
        <v>0.4968944099378882</v>
      </c>
      <c r="K6" s="237" t="s">
        <v>388</v>
      </c>
      <c r="L6" s="238">
        <v>84</v>
      </c>
      <c r="M6" s="239">
        <v>0.8</v>
      </c>
      <c r="N6" s="239">
        <v>4.7</v>
      </c>
      <c r="O6" s="240">
        <v>5.6</v>
      </c>
      <c r="Q6" s="242" t="s">
        <v>397</v>
      </c>
      <c r="R6" s="243">
        <v>2</v>
      </c>
    </row>
    <row r="7" spans="1:18" ht="26.25" thickBot="1">
      <c r="A7" s="238">
        <v>3</v>
      </c>
      <c r="B7" s="238" t="s">
        <v>414</v>
      </c>
      <c r="C7" s="250">
        <v>1019</v>
      </c>
      <c r="D7" s="251"/>
      <c r="E7" s="239">
        <v>51</v>
      </c>
      <c r="F7" s="251"/>
      <c r="G7" s="224"/>
      <c r="K7" s="237" t="s">
        <v>389</v>
      </c>
      <c r="L7" s="238">
        <v>279</v>
      </c>
      <c r="M7" s="239">
        <v>2.8</v>
      </c>
      <c r="N7" s="239">
        <v>1.7</v>
      </c>
      <c r="O7" s="240">
        <v>3.6</v>
      </c>
      <c r="Q7" s="242" t="s">
        <v>398</v>
      </c>
      <c r="R7" s="243">
        <v>1</v>
      </c>
    </row>
    <row r="8" spans="1:15" ht="12.75">
      <c r="A8" s="238">
        <v>4</v>
      </c>
      <c r="B8" s="238" t="s">
        <v>415</v>
      </c>
      <c r="C8" s="238">
        <v>629</v>
      </c>
      <c r="D8" s="251"/>
      <c r="E8" s="239">
        <v>51</v>
      </c>
      <c r="F8" s="251"/>
      <c r="G8" s="224"/>
      <c r="K8" s="237" t="s">
        <v>390</v>
      </c>
      <c r="L8" s="238">
        <v>265</v>
      </c>
      <c r="M8" s="239">
        <v>2.6</v>
      </c>
      <c r="N8" s="239">
        <v>1.2</v>
      </c>
      <c r="O8" s="263">
        <v>2.2</v>
      </c>
    </row>
    <row r="9" spans="1:15" ht="12.75">
      <c r="A9" s="238" t="s">
        <v>416</v>
      </c>
      <c r="B9" s="238" t="s">
        <v>414</v>
      </c>
      <c r="C9" s="251"/>
      <c r="D9" s="250">
        <v>1648</v>
      </c>
      <c r="E9" s="239">
        <v>102</v>
      </c>
      <c r="F9" s="238">
        <v>81</v>
      </c>
      <c r="G9" s="255">
        <f>F9/F12</f>
        <v>0.5031055900621118</v>
      </c>
      <c r="K9" s="237" t="s">
        <v>391</v>
      </c>
      <c r="L9" s="238">
        <v>205</v>
      </c>
      <c r="M9" s="257">
        <v>2</v>
      </c>
      <c r="N9" s="239">
        <v>1.3</v>
      </c>
      <c r="O9" s="240">
        <v>2.1</v>
      </c>
    </row>
    <row r="10" spans="1:15" ht="12.75">
      <c r="A10" s="238" t="s">
        <v>417</v>
      </c>
      <c r="B10" s="238" t="s">
        <v>418</v>
      </c>
      <c r="C10" s="250">
        <v>1099</v>
      </c>
      <c r="D10" s="250">
        <v>2198</v>
      </c>
      <c r="E10" s="239">
        <v>101</v>
      </c>
      <c r="F10" s="238">
        <v>101</v>
      </c>
      <c r="G10" s="224"/>
      <c r="K10" s="237" t="s">
        <v>392</v>
      </c>
      <c r="L10" s="238">
        <v>121</v>
      </c>
      <c r="M10" s="239">
        <v>1.2</v>
      </c>
      <c r="N10" s="239">
        <v>3.4</v>
      </c>
      <c r="O10" s="240">
        <v>4.6</v>
      </c>
    </row>
    <row r="11" spans="1:7" ht="13.5" thickBot="1">
      <c r="A11" s="238" t="s">
        <v>419</v>
      </c>
      <c r="B11" s="238" t="s">
        <v>420</v>
      </c>
      <c r="C11" s="238">
        <v>722</v>
      </c>
      <c r="D11" s="260">
        <v>1445</v>
      </c>
      <c r="E11" s="239">
        <v>102</v>
      </c>
      <c r="F11" s="238">
        <v>102</v>
      </c>
      <c r="G11" s="224"/>
    </row>
    <row r="12" spans="1:7" ht="13.5" thickBot="1">
      <c r="A12" s="238" t="s">
        <v>421</v>
      </c>
      <c r="B12" s="238" t="s">
        <v>413</v>
      </c>
      <c r="C12" s="258"/>
      <c r="D12" s="261">
        <f>(D6*G6)+(D9*G9)</f>
        <v>1817.9378881987577</v>
      </c>
      <c r="E12" s="259">
        <v>203</v>
      </c>
      <c r="F12" s="238">
        <v>161</v>
      </c>
      <c r="G12" s="224"/>
    </row>
    <row r="13" spans="11:12" ht="12.75">
      <c r="K13" s="244" t="s">
        <v>400</v>
      </c>
      <c r="L13" s="244" t="s">
        <v>401</v>
      </c>
    </row>
    <row r="14" spans="1:12" ht="12.75">
      <c r="A14" s="308" t="s">
        <v>372</v>
      </c>
      <c r="B14" s="308"/>
      <c r="C14" s="308"/>
      <c r="D14" s="308"/>
      <c r="E14" s="308"/>
      <c r="F14" s="308"/>
      <c r="G14" s="224"/>
      <c r="K14" s="244" t="s">
        <v>42</v>
      </c>
      <c r="L14" s="244" t="s">
        <v>402</v>
      </c>
    </row>
    <row r="15" spans="1:12" ht="12.75">
      <c r="A15" s="309" t="s">
        <v>373</v>
      </c>
      <c r="B15" s="248" t="s">
        <v>374</v>
      </c>
      <c r="C15" s="342" t="s">
        <v>376</v>
      </c>
      <c r="D15" s="248" t="s">
        <v>377</v>
      </c>
      <c r="E15" s="342" t="s">
        <v>376</v>
      </c>
      <c r="F15" s="342" t="s">
        <v>378</v>
      </c>
      <c r="G15" s="224"/>
      <c r="K15" s="244" t="s">
        <v>44</v>
      </c>
      <c r="L15" s="244" t="s">
        <v>403</v>
      </c>
    </row>
    <row r="16" spans="1:12" ht="12.75">
      <c r="A16" s="309"/>
      <c r="B16" s="248" t="s">
        <v>375</v>
      </c>
      <c r="C16" s="342"/>
      <c r="D16" s="248" t="s">
        <v>375</v>
      </c>
      <c r="E16" s="342"/>
      <c r="F16" s="342"/>
      <c r="G16" s="224"/>
      <c r="K16" s="244" t="s">
        <v>404</v>
      </c>
      <c r="L16" s="245" t="s">
        <v>406</v>
      </c>
    </row>
    <row r="17" spans="1:7" ht="12.75">
      <c r="A17" s="253" t="s">
        <v>379</v>
      </c>
      <c r="B17" s="254">
        <v>9738</v>
      </c>
      <c r="C17" s="254">
        <v>5369</v>
      </c>
      <c r="D17" s="254">
        <v>1002</v>
      </c>
      <c r="E17" s="247">
        <v>696</v>
      </c>
      <c r="F17" s="247">
        <v>40</v>
      </c>
      <c r="G17" s="255">
        <f>F17/F$29</f>
        <v>0.2484472049689441</v>
      </c>
    </row>
    <row r="18" spans="1:18" ht="13.5" thickBot="1">
      <c r="A18" s="253" t="s">
        <v>380</v>
      </c>
      <c r="B18" s="254">
        <v>7996</v>
      </c>
      <c r="C18" s="254">
        <v>3110</v>
      </c>
      <c r="D18" s="247">
        <v>765</v>
      </c>
      <c r="E18" s="247">
        <v>697</v>
      </c>
      <c r="F18" s="247">
        <v>21</v>
      </c>
      <c r="G18" s="255">
        <f>F18/F$29</f>
        <v>0.13043478260869565</v>
      </c>
      <c r="R18" s="122"/>
    </row>
    <row r="19" spans="1:21" ht="12.75">
      <c r="A19" s="253" t="s">
        <v>381</v>
      </c>
      <c r="B19" s="254">
        <v>25277</v>
      </c>
      <c r="C19" s="254">
        <v>24943</v>
      </c>
      <c r="D19" s="254">
        <v>1573</v>
      </c>
      <c r="E19" s="254">
        <v>1136</v>
      </c>
      <c r="F19" s="247">
        <v>26</v>
      </c>
      <c r="G19" s="255">
        <f>F19/F$29</f>
        <v>0.16149068322981366</v>
      </c>
      <c r="K19" s="269" t="s">
        <v>440</v>
      </c>
      <c r="L19" s="270">
        <f aca="true" t="shared" si="0" ref="L19:U19">L22/$U22</f>
        <v>0.16891891891891894</v>
      </c>
      <c r="M19" s="270">
        <f t="shared" si="0"/>
        <v>0.19594594594594594</v>
      </c>
      <c r="N19" s="270">
        <f t="shared" si="0"/>
        <v>0.1891891891891892</v>
      </c>
      <c r="O19" s="270">
        <f t="shared" si="0"/>
        <v>0.17567567567567569</v>
      </c>
      <c r="P19" s="270">
        <f t="shared" si="0"/>
        <v>0.13513513513513514</v>
      </c>
      <c r="Q19" s="270">
        <f t="shared" si="0"/>
        <v>0.054054054054054064</v>
      </c>
      <c r="R19" s="270">
        <f t="shared" si="0"/>
        <v>0.08108108108108109</v>
      </c>
      <c r="S19" s="270">
        <f t="shared" si="0"/>
        <v>0.8648648648648648</v>
      </c>
      <c r="T19" s="270">
        <f t="shared" si="0"/>
        <v>0.13513513513513514</v>
      </c>
      <c r="U19" s="271">
        <f t="shared" si="0"/>
        <v>1</v>
      </c>
    </row>
    <row r="20" spans="1:22" ht="38.25">
      <c r="A20" s="253" t="s">
        <v>382</v>
      </c>
      <c r="B20" s="254">
        <v>22680</v>
      </c>
      <c r="C20" s="254">
        <v>7397</v>
      </c>
      <c r="D20" s="254">
        <v>2502</v>
      </c>
      <c r="E20" s="254">
        <v>1684</v>
      </c>
      <c r="F20" s="247">
        <v>5</v>
      </c>
      <c r="G20" s="255">
        <f>F20/F$29</f>
        <v>0.031055900621118012</v>
      </c>
      <c r="K20" s="272" t="s">
        <v>405</v>
      </c>
      <c r="L20" s="262" t="s">
        <v>430</v>
      </c>
      <c r="M20" s="262" t="s">
        <v>387</v>
      </c>
      <c r="N20" s="262" t="s">
        <v>389</v>
      </c>
      <c r="O20" s="262" t="s">
        <v>390</v>
      </c>
      <c r="P20" s="262" t="s">
        <v>433</v>
      </c>
      <c r="Q20" s="262" t="s">
        <v>388</v>
      </c>
      <c r="R20" s="262" t="s">
        <v>436</v>
      </c>
      <c r="S20" s="262" t="s">
        <v>437</v>
      </c>
      <c r="T20" s="262" t="s">
        <v>438</v>
      </c>
      <c r="U20" s="273" t="s">
        <v>439</v>
      </c>
      <c r="V20"/>
    </row>
    <row r="21" spans="1:21" ht="13.5" thickBot="1">
      <c r="A21" s="253"/>
      <c r="B21" s="254"/>
      <c r="C21" s="254"/>
      <c r="D21" s="254"/>
      <c r="E21" s="254"/>
      <c r="F21" s="247"/>
      <c r="G21" s="255"/>
      <c r="K21" s="274" t="s">
        <v>435</v>
      </c>
      <c r="L21" s="284">
        <f>L22/$S22</f>
        <v>0.19531250000000003</v>
      </c>
      <c r="M21" s="284">
        <f>M22/$S22</f>
        <v>0.2265625</v>
      </c>
      <c r="N21" s="284">
        <f>N22/$S22</f>
        <v>0.21875</v>
      </c>
      <c r="O21" s="284">
        <f>O22/$S22</f>
        <v>0.20312500000000003</v>
      </c>
      <c r="P21" s="284">
        <f>P22/$S22</f>
        <v>0.15625</v>
      </c>
      <c r="Q21" s="284">
        <f>Q22/T22</f>
        <v>0.4</v>
      </c>
      <c r="R21" s="284">
        <f>R22/T22</f>
        <v>0.6</v>
      </c>
      <c r="S21" s="284">
        <f>SUM(L19:P19)</f>
        <v>0.8648648648648649</v>
      </c>
      <c r="T21" s="285">
        <f>SUM(Q19:R19)</f>
        <v>0.13513513513513514</v>
      </c>
      <c r="U21" s="286"/>
    </row>
    <row r="22" spans="1:21" ht="13.5" thickBot="1">
      <c r="A22" s="253" t="s">
        <v>383</v>
      </c>
      <c r="B22" s="254">
        <v>13678</v>
      </c>
      <c r="C22" s="254">
        <v>6433</v>
      </c>
      <c r="D22" s="254">
        <v>1059</v>
      </c>
      <c r="E22" s="247">
        <v>967</v>
      </c>
      <c r="F22" s="247">
        <v>23</v>
      </c>
      <c r="G22" s="255">
        <f>F22/F$29</f>
        <v>0.14285714285714285</v>
      </c>
      <c r="K22" s="275" t="s">
        <v>428</v>
      </c>
      <c r="L22" s="238">
        <v>2.5</v>
      </c>
      <c r="M22" s="238">
        <v>2.9</v>
      </c>
      <c r="N22" s="238">
        <v>2.8</v>
      </c>
      <c r="O22" s="238">
        <v>2.6</v>
      </c>
      <c r="P22" s="287">
        <v>2</v>
      </c>
      <c r="Q22" s="238">
        <v>0.8</v>
      </c>
      <c r="R22" s="238">
        <v>1.2</v>
      </c>
      <c r="S22" s="282">
        <f>SUM(L22:P22)</f>
        <v>12.799999999999999</v>
      </c>
      <c r="T22" s="288">
        <f>SUM(Q22:R22)</f>
        <v>2</v>
      </c>
      <c r="U22" s="289">
        <f>SUM(S22:T22)</f>
        <v>14.799999999999999</v>
      </c>
    </row>
    <row r="23" spans="1:22" ht="12.75">
      <c r="A23" s="253" t="s">
        <v>384</v>
      </c>
      <c r="B23" s="254">
        <v>13195</v>
      </c>
      <c r="C23" s="254">
        <v>5329</v>
      </c>
      <c r="D23" s="254">
        <v>1690</v>
      </c>
      <c r="E23" s="247">
        <v>845</v>
      </c>
      <c r="F23" s="247">
        <v>5</v>
      </c>
      <c r="G23" s="255">
        <f>F23/F$29</f>
        <v>0.031055900621118012</v>
      </c>
      <c r="K23" s="275" t="s">
        <v>393</v>
      </c>
      <c r="L23" s="238">
        <v>3</v>
      </c>
      <c r="M23" s="238">
        <v>4</v>
      </c>
      <c r="N23" s="238">
        <v>2</v>
      </c>
      <c r="O23" s="238">
        <v>1</v>
      </c>
      <c r="P23" s="238">
        <v>1</v>
      </c>
      <c r="Q23" s="238">
        <v>4</v>
      </c>
      <c r="R23" s="238">
        <v>2</v>
      </c>
      <c r="S23" s="278">
        <f aca="true" t="shared" si="1" ref="S23:S30">SUMPRODUCT(L$21:P$21,L23:P23)</f>
        <v>2.2890625</v>
      </c>
      <c r="T23" s="278">
        <f aca="true" t="shared" si="2" ref="T23:T30">SUMPRODUCT(Q$21:R$21,Q23:R23)</f>
        <v>2.8</v>
      </c>
      <c r="U23" s="279">
        <f aca="true" t="shared" si="3" ref="U23:U30">SUMPRODUCT(S$21:T$21,S23:T23)</f>
        <v>2.3581081081081083</v>
      </c>
      <c r="V23" s="264"/>
    </row>
    <row r="24" spans="1:22" ht="12.75">
      <c r="A24" s="253"/>
      <c r="B24" s="254"/>
      <c r="C24" s="254"/>
      <c r="D24" s="254"/>
      <c r="E24" s="247"/>
      <c r="F24" s="247"/>
      <c r="G24" s="255"/>
      <c r="K24" s="276" t="s">
        <v>446</v>
      </c>
      <c r="L24" s="238">
        <v>75</v>
      </c>
      <c r="M24" s="238">
        <v>75</v>
      </c>
      <c r="N24" s="238">
        <v>75</v>
      </c>
      <c r="O24" s="238">
        <v>60</v>
      </c>
      <c r="P24" s="238">
        <v>75</v>
      </c>
      <c r="Q24" s="238">
        <v>75</v>
      </c>
      <c r="R24" s="238">
        <v>60</v>
      </c>
      <c r="S24" s="280">
        <f t="shared" si="1"/>
        <v>71.953125</v>
      </c>
      <c r="T24" s="280">
        <f t="shared" si="2"/>
        <v>66</v>
      </c>
      <c r="U24" s="281">
        <f t="shared" si="3"/>
        <v>71.14864864864865</v>
      </c>
      <c r="V24" s="264"/>
    </row>
    <row r="25" spans="1:22" ht="12.75">
      <c r="A25" s="253"/>
      <c r="B25" s="254"/>
      <c r="C25" s="254"/>
      <c r="D25" s="254"/>
      <c r="E25" s="247"/>
      <c r="F25" s="247"/>
      <c r="G25" s="255"/>
      <c r="K25" s="276" t="s">
        <v>448</v>
      </c>
      <c r="L25" s="238">
        <v>2</v>
      </c>
      <c r="M25" s="238">
        <v>2</v>
      </c>
      <c r="N25" s="238">
        <v>2</v>
      </c>
      <c r="O25" s="238">
        <v>2</v>
      </c>
      <c r="P25" s="238">
        <v>2</v>
      </c>
      <c r="Q25" s="238">
        <v>2</v>
      </c>
      <c r="R25" s="238">
        <v>2</v>
      </c>
      <c r="S25" s="280">
        <f t="shared" si="1"/>
        <v>2</v>
      </c>
      <c r="T25" s="280">
        <f t="shared" si="2"/>
        <v>2</v>
      </c>
      <c r="U25" s="281">
        <f t="shared" si="3"/>
        <v>2</v>
      </c>
      <c r="V25" s="264"/>
    </row>
    <row r="26" spans="1:22" ht="12.75">
      <c r="A26" s="253"/>
      <c r="B26" s="254"/>
      <c r="C26" s="254"/>
      <c r="D26" s="254"/>
      <c r="E26" s="247"/>
      <c r="F26" s="247"/>
      <c r="G26" s="255"/>
      <c r="K26" s="276" t="s">
        <v>451</v>
      </c>
      <c r="L26" s="238">
        <f>L22*L25</f>
        <v>5</v>
      </c>
      <c r="M26" s="238">
        <f aca="true" t="shared" si="4" ref="M26:R26">M22*M25</f>
        <v>5.8</v>
      </c>
      <c r="N26" s="238">
        <f t="shared" si="4"/>
        <v>5.6</v>
      </c>
      <c r="O26" s="238">
        <f t="shared" si="4"/>
        <v>5.2</v>
      </c>
      <c r="P26" s="238">
        <f t="shared" si="4"/>
        <v>4</v>
      </c>
      <c r="Q26" s="238">
        <f t="shared" si="4"/>
        <v>1.6</v>
      </c>
      <c r="R26" s="238">
        <f t="shared" si="4"/>
        <v>2.4</v>
      </c>
      <c r="S26" s="280">
        <f>SUMPRODUCT(L$21:P$21,L26:P26)</f>
        <v>5.196875</v>
      </c>
      <c r="T26" s="280">
        <f>SUMPRODUCT(Q$21:R$21,Q26:R26)</f>
        <v>2.08</v>
      </c>
      <c r="U26" s="281">
        <f>SUMPRODUCT(S$21:T$21,S26:T26)</f>
        <v>4.775675675675676</v>
      </c>
      <c r="V26" s="264"/>
    </row>
    <row r="27" spans="1:22" ht="12.75">
      <c r="A27" s="253"/>
      <c r="B27" s="254"/>
      <c r="C27" s="254"/>
      <c r="D27" s="254"/>
      <c r="E27" s="247"/>
      <c r="F27" s="247"/>
      <c r="G27" s="255"/>
      <c r="K27" s="276" t="s">
        <v>447</v>
      </c>
      <c r="L27" s="238">
        <v>20</v>
      </c>
      <c r="M27" s="238">
        <v>20</v>
      </c>
      <c r="N27" s="238">
        <v>20</v>
      </c>
      <c r="O27" s="238">
        <v>17</v>
      </c>
      <c r="P27" s="238">
        <v>20</v>
      </c>
      <c r="Q27" s="238">
        <v>20</v>
      </c>
      <c r="R27" s="238">
        <v>17</v>
      </c>
      <c r="S27" s="280">
        <f t="shared" si="1"/>
        <v>19.390625</v>
      </c>
      <c r="T27" s="280">
        <f t="shared" si="2"/>
        <v>18.2</v>
      </c>
      <c r="U27" s="281">
        <f t="shared" si="3"/>
        <v>19.22972972972973</v>
      </c>
      <c r="V27" s="264"/>
    </row>
    <row r="28" spans="1:21" ht="12.75">
      <c r="A28" s="253" t="s">
        <v>385</v>
      </c>
      <c r="B28" s="254">
        <v>11656</v>
      </c>
      <c r="C28" s="254">
        <v>5302</v>
      </c>
      <c r="D28" s="254">
        <v>1014</v>
      </c>
      <c r="E28" s="247">
        <v>691</v>
      </c>
      <c r="F28" s="247">
        <v>41</v>
      </c>
      <c r="G28" s="255">
        <f>F28/F$29</f>
        <v>0.2546583850931677</v>
      </c>
      <c r="K28" s="276" t="s">
        <v>431</v>
      </c>
      <c r="L28" s="282">
        <f>L25*L24</f>
        <v>150</v>
      </c>
      <c r="M28" s="282">
        <f aca="true" t="shared" si="5" ref="M28:R28">M25*M24</f>
        <v>150</v>
      </c>
      <c r="N28" s="282">
        <f t="shared" si="5"/>
        <v>150</v>
      </c>
      <c r="O28" s="282">
        <f t="shared" si="5"/>
        <v>120</v>
      </c>
      <c r="P28" s="282">
        <f t="shared" si="5"/>
        <v>150</v>
      </c>
      <c r="Q28" s="282">
        <f t="shared" si="5"/>
        <v>150</v>
      </c>
      <c r="R28" s="282">
        <f t="shared" si="5"/>
        <v>120</v>
      </c>
      <c r="S28" s="280">
        <f t="shared" si="1"/>
        <v>143.90625</v>
      </c>
      <c r="T28" s="280">
        <f t="shared" si="2"/>
        <v>132</v>
      </c>
      <c r="U28" s="281">
        <f t="shared" si="3"/>
        <v>142.2972972972973</v>
      </c>
    </row>
    <row r="29" spans="1:21" ht="12.75">
      <c r="A29" s="253" t="s">
        <v>232</v>
      </c>
      <c r="B29" s="252">
        <f>SUMPRODUCT(B17:B28,$G17:$G28)</f>
        <v>13580.76397515528</v>
      </c>
      <c r="C29" s="252">
        <f>SUMPRODUCT(C17:C28,$G17:$G28)</f>
        <v>8432.04347826087</v>
      </c>
      <c r="D29" s="252">
        <f>SUMPRODUCT(D17:D28,$G17:$G28)</f>
        <v>1142.4472049689443</v>
      </c>
      <c r="E29" s="252">
        <f>SUMPRODUCT(E17:E28,$G17:$G28)</f>
        <v>839.9378881987577</v>
      </c>
      <c r="F29" s="247">
        <f>SUM(F17:F28)</f>
        <v>161</v>
      </c>
      <c r="G29" s="224"/>
      <c r="K29" s="276" t="s">
        <v>432</v>
      </c>
      <c r="L29" s="282">
        <f>L27*L25</f>
        <v>40</v>
      </c>
      <c r="M29" s="282">
        <f aca="true" t="shared" si="6" ref="M29:R29">M27*M25</f>
        <v>40</v>
      </c>
      <c r="N29" s="282">
        <f t="shared" si="6"/>
        <v>40</v>
      </c>
      <c r="O29" s="282">
        <f t="shared" si="6"/>
        <v>34</v>
      </c>
      <c r="P29" s="282">
        <f t="shared" si="6"/>
        <v>40</v>
      </c>
      <c r="Q29" s="282">
        <f t="shared" si="6"/>
        <v>40</v>
      </c>
      <c r="R29" s="282">
        <f t="shared" si="6"/>
        <v>34</v>
      </c>
      <c r="S29" s="280">
        <f t="shared" si="1"/>
        <v>38.78125</v>
      </c>
      <c r="T29" s="280">
        <f t="shared" si="2"/>
        <v>36.4</v>
      </c>
      <c r="U29" s="281">
        <f t="shared" si="3"/>
        <v>38.45945945945946</v>
      </c>
    </row>
    <row r="30" spans="11:21" ht="12.75">
      <c r="K30" s="276" t="s">
        <v>434</v>
      </c>
      <c r="L30" s="282">
        <f aca="true" t="shared" si="7" ref="L30:R30">L28-L29</f>
        <v>110</v>
      </c>
      <c r="M30" s="282">
        <f t="shared" si="7"/>
        <v>110</v>
      </c>
      <c r="N30" s="282">
        <f t="shared" si="7"/>
        <v>110</v>
      </c>
      <c r="O30" s="282">
        <f t="shared" si="7"/>
        <v>86</v>
      </c>
      <c r="P30" s="282">
        <f t="shared" si="7"/>
        <v>110</v>
      </c>
      <c r="Q30" s="282">
        <f t="shared" si="7"/>
        <v>110</v>
      </c>
      <c r="R30" s="282">
        <f t="shared" si="7"/>
        <v>86</v>
      </c>
      <c r="S30" s="280">
        <f t="shared" si="1"/>
        <v>105.125</v>
      </c>
      <c r="T30" s="280">
        <f t="shared" si="2"/>
        <v>95.6</v>
      </c>
      <c r="U30" s="281">
        <f t="shared" si="3"/>
        <v>103.83783783783784</v>
      </c>
    </row>
    <row r="31" spans="11:21" ht="12.75">
      <c r="K31" s="277" t="s">
        <v>441</v>
      </c>
      <c r="L31" s="283">
        <f>L28*L22</f>
        <v>375</v>
      </c>
      <c r="M31" s="283">
        <f aca="true" t="shared" si="8" ref="M31:T31">M28*M22</f>
        <v>435</v>
      </c>
      <c r="N31" s="283">
        <f t="shared" si="8"/>
        <v>420</v>
      </c>
      <c r="O31" s="283">
        <f t="shared" si="8"/>
        <v>312</v>
      </c>
      <c r="P31" s="283">
        <f t="shared" si="8"/>
        <v>300</v>
      </c>
      <c r="Q31" s="283">
        <f t="shared" si="8"/>
        <v>120</v>
      </c>
      <c r="R31" s="283">
        <f t="shared" si="8"/>
        <v>144</v>
      </c>
      <c r="S31" s="283">
        <f t="shared" si="8"/>
        <v>1841.9999999999998</v>
      </c>
      <c r="T31" s="283">
        <f t="shared" si="8"/>
        <v>264</v>
      </c>
      <c r="U31" s="281">
        <f>U28*U22</f>
        <v>2105.9999999999995</v>
      </c>
    </row>
    <row r="32" spans="11:21" ht="13.5" thickBot="1">
      <c r="K32" s="277" t="s">
        <v>442</v>
      </c>
      <c r="L32" s="283">
        <f>L22*L29</f>
        <v>100</v>
      </c>
      <c r="M32" s="283">
        <f aca="true" t="shared" si="9" ref="M32:U32">M22*M29</f>
        <v>116</v>
      </c>
      <c r="N32" s="283">
        <f t="shared" si="9"/>
        <v>112</v>
      </c>
      <c r="O32" s="283">
        <f t="shared" si="9"/>
        <v>88.4</v>
      </c>
      <c r="P32" s="283">
        <f t="shared" si="9"/>
        <v>80</v>
      </c>
      <c r="Q32" s="283">
        <f t="shared" si="9"/>
        <v>32</v>
      </c>
      <c r="R32" s="283">
        <f t="shared" si="9"/>
        <v>40.8</v>
      </c>
      <c r="S32" s="283">
        <f t="shared" si="9"/>
        <v>496.4</v>
      </c>
      <c r="T32" s="283">
        <f t="shared" si="9"/>
        <v>72.8</v>
      </c>
      <c r="U32" s="291">
        <f t="shared" si="9"/>
        <v>569.1999999999999</v>
      </c>
    </row>
    <row r="33" spans="11:23" ht="13.5" thickBot="1">
      <c r="K33" s="277" t="s">
        <v>449</v>
      </c>
      <c r="L33" s="283">
        <f aca="true" t="shared" si="10" ref="L33:T33">L31*L23*365/1000</f>
        <v>410.625</v>
      </c>
      <c r="M33" s="283">
        <f t="shared" si="10"/>
        <v>635.1</v>
      </c>
      <c r="N33" s="283">
        <f t="shared" si="10"/>
        <v>306.6</v>
      </c>
      <c r="O33" s="283">
        <f t="shared" si="10"/>
        <v>113.88</v>
      </c>
      <c r="P33" s="283">
        <f t="shared" si="10"/>
        <v>109.5</v>
      </c>
      <c r="Q33" s="283">
        <f t="shared" si="10"/>
        <v>175.2</v>
      </c>
      <c r="R33" s="283">
        <f t="shared" si="10"/>
        <v>105.12</v>
      </c>
      <c r="S33" s="283">
        <f t="shared" si="10"/>
        <v>1539.0053906249998</v>
      </c>
      <c r="T33" s="290">
        <f t="shared" si="10"/>
        <v>269.808</v>
      </c>
      <c r="U33" s="293">
        <f>U31*U23*365/1000</f>
        <v>1812.6541216216212</v>
      </c>
      <c r="V33" s="268">
        <f>U33/D12</f>
        <v>0.9970935384473604</v>
      </c>
      <c r="W33" s="5" t="s">
        <v>443</v>
      </c>
    </row>
    <row r="34" spans="11:21" ht="12.75">
      <c r="K34" s="277" t="s">
        <v>450</v>
      </c>
      <c r="L34" s="283">
        <f>L23*L32*365/1000</f>
        <v>109.5</v>
      </c>
      <c r="M34" s="283">
        <f aca="true" t="shared" si="11" ref="M34:U34">M23*M32*365/1000</f>
        <v>169.36</v>
      </c>
      <c r="N34" s="283">
        <f t="shared" si="11"/>
        <v>81.76</v>
      </c>
      <c r="O34" s="283">
        <f t="shared" si="11"/>
        <v>32.266000000000005</v>
      </c>
      <c r="P34" s="283">
        <f t="shared" si="11"/>
        <v>29.2</v>
      </c>
      <c r="Q34" s="283">
        <f t="shared" si="11"/>
        <v>46.72</v>
      </c>
      <c r="R34" s="283">
        <f t="shared" si="11"/>
        <v>29.783999999999995</v>
      </c>
      <c r="S34" s="283">
        <f t="shared" si="11"/>
        <v>414.74607812499994</v>
      </c>
      <c r="T34" s="283">
        <f t="shared" si="11"/>
        <v>74.40159999999999</v>
      </c>
      <c r="U34" s="292">
        <f t="shared" si="11"/>
        <v>489.9158243243243</v>
      </c>
    </row>
    <row r="35" spans="11:21" ht="13.5" thickBot="1">
      <c r="K35" s="303" t="s">
        <v>481</v>
      </c>
      <c r="L35" s="304">
        <f aca="true" t="shared" si="12" ref="L35:T35">L33-L34</f>
        <v>301.125</v>
      </c>
      <c r="M35" s="304">
        <f t="shared" si="12"/>
        <v>465.74</v>
      </c>
      <c r="N35" s="304">
        <f t="shared" si="12"/>
        <v>224.84000000000003</v>
      </c>
      <c r="O35" s="304">
        <f t="shared" si="12"/>
        <v>81.61399999999999</v>
      </c>
      <c r="P35" s="304">
        <f t="shared" si="12"/>
        <v>80.3</v>
      </c>
      <c r="Q35" s="304">
        <f t="shared" si="12"/>
        <v>128.48</v>
      </c>
      <c r="R35" s="304">
        <f t="shared" si="12"/>
        <v>75.33600000000001</v>
      </c>
      <c r="S35" s="304">
        <f t="shared" si="12"/>
        <v>1124.2593124999999</v>
      </c>
      <c r="T35" s="304">
        <f t="shared" si="12"/>
        <v>195.40640000000002</v>
      </c>
      <c r="U35" s="291">
        <f>U33-U34</f>
        <v>1322.7382972972969</v>
      </c>
    </row>
    <row r="36" spans="11:21" ht="12.75">
      <c r="K36" s="306" t="s">
        <v>482</v>
      </c>
      <c r="L36" s="310"/>
      <c r="M36" s="310"/>
      <c r="N36" s="310"/>
      <c r="O36" s="310"/>
      <c r="P36" s="310"/>
      <c r="Q36" s="310"/>
      <c r="R36" s="310"/>
      <c r="S36" s="310"/>
      <c r="T36" s="310"/>
      <c r="U36" s="311"/>
    </row>
    <row r="37" spans="11:21" ht="12.75">
      <c r="K37" s="312" t="str">
        <f>'Bulb Assumptions'!A18</f>
        <v>Removal</v>
      </c>
      <c r="L37" s="255">
        <f>'Bulb Assumptions'!B18</f>
        <v>0.12</v>
      </c>
      <c r="M37" s="255">
        <f>'Bulb Assumptions'!C18</f>
        <v>0.12</v>
      </c>
      <c r="N37" s="255">
        <f>'Bulb Assumptions'!D18</f>
        <v>0.12</v>
      </c>
      <c r="O37" s="255">
        <f>'Bulb Assumptions'!E18</f>
        <v>0.12</v>
      </c>
      <c r="P37" s="255">
        <f>'Bulb Assumptions'!F18</f>
        <v>0.12</v>
      </c>
      <c r="Q37" s="255">
        <f>'Bulb Assumptions'!G18</f>
        <v>0.12</v>
      </c>
      <c r="R37" s="255">
        <f>'Bulb Assumptions'!H18</f>
        <v>0.12</v>
      </c>
      <c r="S37" s="255">
        <f>'Bulb Assumptions'!I18</f>
        <v>0.12000000000000001</v>
      </c>
      <c r="T37" s="255">
        <f>'Bulb Assumptions'!J18</f>
        <v>0.12</v>
      </c>
      <c r="U37" s="313">
        <f>'Bulb Assumptions'!K18</f>
        <v>0.12000000000000001</v>
      </c>
    </row>
    <row r="38" spans="11:21" ht="12.75">
      <c r="K38" s="312" t="str">
        <f>'Bulb Assumptions'!A19</f>
        <v>Take-back</v>
      </c>
      <c r="L38" s="255">
        <f>'Bulb Assumptions'!B19</f>
        <v>0.05</v>
      </c>
      <c r="M38" s="255">
        <f>'Bulb Assumptions'!C19</f>
        <v>0.05</v>
      </c>
      <c r="N38" s="255">
        <f>'Bulb Assumptions'!D19</f>
        <v>0.05</v>
      </c>
      <c r="O38" s="255">
        <f>'Bulb Assumptions'!E19</f>
        <v>0.05</v>
      </c>
      <c r="P38" s="255">
        <f>'Bulb Assumptions'!F19</f>
        <v>0.05</v>
      </c>
      <c r="Q38" s="255">
        <f>'Bulb Assumptions'!G19</f>
        <v>0.2</v>
      </c>
      <c r="R38" s="255">
        <f>'Bulb Assumptions'!H19</f>
        <v>0.2</v>
      </c>
      <c r="S38" s="255">
        <f>'Bulb Assumptions'!I19</f>
        <v>0.05</v>
      </c>
      <c r="T38" s="255">
        <f>'Bulb Assumptions'!J19</f>
        <v>0.2</v>
      </c>
      <c r="U38" s="313">
        <f>'Bulb Assumptions'!K19</f>
        <v>0.07027027027027027</v>
      </c>
    </row>
    <row r="39" spans="11:21" ht="13.5" thickBot="1">
      <c r="K39" s="315" t="str">
        <f>'Bulb Assumptions'!A20</f>
        <v>Space Conditioning Interaction</v>
      </c>
      <c r="L39" s="316">
        <f>'Bulb Assumptions'!B20</f>
        <v>0.11311408490416483</v>
      </c>
      <c r="M39" s="316">
        <f>'Bulb Assumptions'!C20</f>
        <v>0.11311408490416483</v>
      </c>
      <c r="N39" s="316">
        <f>'Bulb Assumptions'!D20</f>
        <v>0.11311408490416483</v>
      </c>
      <c r="O39" s="316">
        <f>'Bulb Assumptions'!E20</f>
        <v>0.11311408490416483</v>
      </c>
      <c r="P39" s="316">
        <f>'Bulb Assumptions'!F20</f>
        <v>0.11311408490416483</v>
      </c>
      <c r="Q39" s="316">
        <f>'Bulb Assumptions'!G20</f>
        <v>0</v>
      </c>
      <c r="R39" s="316">
        <f>'Bulb Assumptions'!H20</f>
        <v>0</v>
      </c>
      <c r="S39" s="316">
        <f>'Bulb Assumptions'!I20</f>
        <v>0.11311408490416483</v>
      </c>
      <c r="T39" s="316">
        <f>'Bulb Assumptions'!J20</f>
        <v>0</v>
      </c>
      <c r="U39" s="317">
        <f>'Bulb Assumptions'!K20</f>
        <v>0.09782839775495338</v>
      </c>
    </row>
    <row r="40" spans="11:21" ht="12.75">
      <c r="K40" s="320" t="s">
        <v>484</v>
      </c>
      <c r="L40" s="318">
        <f>'Bulb Assumptions'!B17</f>
        <v>25.625</v>
      </c>
      <c r="M40" s="318">
        <f>'Bulb Assumptions'!C17</f>
        <v>31.674999999999997</v>
      </c>
      <c r="N40" s="318">
        <f>'Bulb Assumptions'!D17</f>
        <v>33.275</v>
      </c>
      <c r="O40" s="318">
        <f>'Bulb Assumptions'!E17</f>
        <v>30.675000000000004</v>
      </c>
      <c r="P40" s="318">
        <f>'Bulb Assumptions'!F17</f>
        <v>22.875</v>
      </c>
      <c r="Q40" s="318">
        <f>'Bulb Assumptions'!G17</f>
        <v>6.955</v>
      </c>
      <c r="R40" s="318">
        <f>'Bulb Assumptions'!H17</f>
        <v>11.995</v>
      </c>
      <c r="S40" s="319"/>
      <c r="T40" s="324"/>
      <c r="U40" s="327">
        <f>SUM(L40:R40)</f>
        <v>163.07500000000002</v>
      </c>
    </row>
    <row r="41" spans="11:21" ht="12.75">
      <c r="K41" s="321" t="s">
        <v>193</v>
      </c>
      <c r="L41" s="302"/>
      <c r="M41" s="302"/>
      <c r="N41" s="301">
        <f>'Bulb Assumptions'!B28</f>
        <v>0.9125</v>
      </c>
      <c r="O41" s="301">
        <f>'Bulb Assumptions'!C28</f>
        <v>1.2166666666666666</v>
      </c>
      <c r="P41" s="301">
        <f>'Bulb Assumptions'!D28</f>
        <v>0.6083333333333333</v>
      </c>
      <c r="Q41" s="301">
        <f>'Bulb Assumptions'!E28</f>
        <v>0.30416666666666664</v>
      </c>
      <c r="R41" s="301">
        <f>'Bulb Assumptions'!F28</f>
        <v>0.30416666666666664</v>
      </c>
      <c r="S41" s="302"/>
      <c r="T41" s="325"/>
      <c r="U41" s="328">
        <f>SUM(L41:R41)</f>
        <v>3.345833333333333</v>
      </c>
    </row>
    <row r="42" spans="11:21" ht="13.5" thickBot="1">
      <c r="K42" s="322" t="s">
        <v>189</v>
      </c>
      <c r="L42" s="305">
        <f>L35*(1-L37)*(1-L123)</f>
        <v>264.99</v>
      </c>
      <c r="M42" s="305">
        <f aca="true" t="shared" si="13" ref="M42:T42">M35*(1-M37)*(1-M123)</f>
        <v>409.8512</v>
      </c>
      <c r="N42" s="305">
        <f t="shared" si="13"/>
        <v>197.85920000000002</v>
      </c>
      <c r="O42" s="305">
        <f t="shared" si="13"/>
        <v>71.82032</v>
      </c>
      <c r="P42" s="305">
        <f t="shared" si="13"/>
        <v>70.664</v>
      </c>
      <c r="Q42" s="305">
        <f t="shared" si="13"/>
        <v>113.0624</v>
      </c>
      <c r="R42" s="305">
        <f t="shared" si="13"/>
        <v>66.29568000000002</v>
      </c>
      <c r="S42" s="305">
        <f t="shared" si="13"/>
        <v>989.3481949999999</v>
      </c>
      <c r="T42" s="326">
        <f t="shared" si="13"/>
        <v>171.95763200000002</v>
      </c>
      <c r="U42" s="150">
        <f>U35*(1-U37)*(1-U123)</f>
        <v>1164.0097016216212</v>
      </c>
    </row>
    <row r="43" spans="11:21" ht="13.5" thickBot="1">
      <c r="K43" s="323" t="s">
        <v>190</v>
      </c>
      <c r="L43" s="314">
        <f>L35*(1-L37)*(1-L39)*(1-L38)</f>
        <v>223.26510370918308</v>
      </c>
      <c r="M43" s="314">
        <f aca="true" t="shared" si="14" ref="M43:T43">M35*(1-M37)*(1-M39)*(1-M38)</f>
        <v>345.3166937368698</v>
      </c>
      <c r="N43" s="314">
        <f t="shared" si="14"/>
        <v>166.70461076952338</v>
      </c>
      <c r="O43" s="314">
        <f t="shared" si="14"/>
        <v>60.51160871439192</v>
      </c>
      <c r="P43" s="314">
        <f t="shared" si="14"/>
        <v>59.537360989115484</v>
      </c>
      <c r="Q43" s="314">
        <f t="shared" si="14"/>
        <v>90.44992</v>
      </c>
      <c r="R43" s="314">
        <f t="shared" si="14"/>
        <v>53.03654400000002</v>
      </c>
      <c r="S43" s="314">
        <f t="shared" si="14"/>
        <v>833.5670303074382</v>
      </c>
      <c r="T43" s="329">
        <f t="shared" si="14"/>
        <v>137.56610560000001</v>
      </c>
      <c r="U43" s="330">
        <f>U35*(1-U37)*(1-U39)*(1-U38)</f>
        <v>976.3431220378927</v>
      </c>
    </row>
  </sheetData>
  <mergeCells count="6">
    <mergeCell ref="K2:O2"/>
    <mergeCell ref="A14:F14"/>
    <mergeCell ref="A15:A16"/>
    <mergeCell ref="C15:C16"/>
    <mergeCell ref="E15:E16"/>
    <mergeCell ref="F15:F16"/>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6"/>
  <dimension ref="A1:I23"/>
  <sheetViews>
    <sheetView workbookViewId="0" topLeftCell="A4">
      <selection activeCell="E12" sqref="E12"/>
    </sheetView>
  </sheetViews>
  <sheetFormatPr defaultColWidth="9.140625" defaultRowHeight="12.75"/>
  <cols>
    <col min="1" max="1" width="13.140625" style="0" customWidth="1"/>
    <col min="2" max="2" width="30.140625" style="0" customWidth="1"/>
    <col min="7" max="7" width="10.140625" style="0" bestFit="1" customWidth="1"/>
    <col min="9" max="9" width="14.421875" style="0" customWidth="1"/>
  </cols>
  <sheetData>
    <row r="1" ht="12.75">
      <c r="A1" t="s">
        <v>194</v>
      </c>
    </row>
    <row r="4" ht="12.75">
      <c r="A4" s="151" t="s">
        <v>195</v>
      </c>
    </row>
    <row r="5" spans="1:9" ht="38.25">
      <c r="A5" s="155" t="s">
        <v>196</v>
      </c>
      <c r="B5" s="155" t="s">
        <v>197</v>
      </c>
      <c r="C5" s="155" t="s">
        <v>198</v>
      </c>
      <c r="D5" s="155" t="s">
        <v>199</v>
      </c>
      <c r="E5" s="155" t="s">
        <v>200</v>
      </c>
      <c r="F5" s="155" t="s">
        <v>201</v>
      </c>
      <c r="G5" s="155" t="s">
        <v>202</v>
      </c>
      <c r="H5" s="155" t="s">
        <v>174</v>
      </c>
      <c r="I5" s="155" t="s">
        <v>203</v>
      </c>
    </row>
    <row r="6" spans="1:9" ht="12.75">
      <c r="A6" s="124" t="s">
        <v>204</v>
      </c>
      <c r="B6" s="124" t="s">
        <v>205</v>
      </c>
      <c r="C6" s="156">
        <v>8.36</v>
      </c>
      <c r="D6" s="157">
        <v>900</v>
      </c>
      <c r="E6" s="124">
        <v>15</v>
      </c>
      <c r="F6" s="124">
        <v>60</v>
      </c>
      <c r="G6" s="157">
        <v>10000</v>
      </c>
      <c r="H6" s="124">
        <f>F6-E6</f>
        <v>45</v>
      </c>
      <c r="I6" s="124" t="s">
        <v>206</v>
      </c>
    </row>
    <row r="7" spans="1:9" ht="12.75">
      <c r="A7" s="124" t="s">
        <v>207</v>
      </c>
      <c r="B7" s="124" t="s">
        <v>205</v>
      </c>
      <c r="C7" s="156">
        <v>8.36</v>
      </c>
      <c r="D7" s="157">
        <v>1200</v>
      </c>
      <c r="E7" s="124">
        <v>20</v>
      </c>
      <c r="F7" s="124">
        <v>75</v>
      </c>
      <c r="G7" s="157">
        <v>10000</v>
      </c>
      <c r="H7" s="124">
        <f>F7-E7</f>
        <v>55</v>
      </c>
      <c r="I7" s="124" t="s">
        <v>206</v>
      </c>
    </row>
    <row r="8" ht="12.75">
      <c r="D8" s="89"/>
    </row>
    <row r="9" spans="1:4" ht="12.75">
      <c r="A9" s="151" t="s">
        <v>208</v>
      </c>
      <c r="D9" s="89"/>
    </row>
    <row r="10" spans="1:9" ht="38.25">
      <c r="A10" s="155" t="s">
        <v>196</v>
      </c>
      <c r="B10" s="155" t="s">
        <v>197</v>
      </c>
      <c r="C10" s="155" t="s">
        <v>198</v>
      </c>
      <c r="D10" s="155" t="s">
        <v>199</v>
      </c>
      <c r="E10" s="155" t="s">
        <v>200</v>
      </c>
      <c r="F10" s="155" t="s">
        <v>201</v>
      </c>
      <c r="G10" s="155" t="s">
        <v>202</v>
      </c>
      <c r="H10" s="155" t="s">
        <v>174</v>
      </c>
      <c r="I10" s="155" t="s">
        <v>203</v>
      </c>
    </row>
    <row r="11" spans="1:9" ht="12.75">
      <c r="A11" s="124" t="s">
        <v>209</v>
      </c>
      <c r="B11" s="124" t="s">
        <v>205</v>
      </c>
      <c r="C11" s="156">
        <v>5.75</v>
      </c>
      <c r="D11" s="157">
        <v>900</v>
      </c>
      <c r="E11" s="124">
        <v>15</v>
      </c>
      <c r="F11" s="124">
        <v>60</v>
      </c>
      <c r="G11" s="157">
        <v>8000</v>
      </c>
      <c r="H11" s="124">
        <f aca="true" t="shared" si="0" ref="H11:H16">F11-E11</f>
        <v>45</v>
      </c>
      <c r="I11" s="124" t="s">
        <v>206</v>
      </c>
    </row>
    <row r="12" spans="1:9" ht="12.75">
      <c r="A12" s="124" t="s">
        <v>209</v>
      </c>
      <c r="B12" s="124" t="s">
        <v>210</v>
      </c>
      <c r="C12" s="156">
        <v>6.1</v>
      </c>
      <c r="D12" s="157">
        <v>900</v>
      </c>
      <c r="E12" s="124">
        <v>15</v>
      </c>
      <c r="F12" s="124">
        <v>60</v>
      </c>
      <c r="G12" s="157">
        <v>8000</v>
      </c>
      <c r="H12" s="124">
        <f t="shared" si="0"/>
        <v>45</v>
      </c>
      <c r="I12" s="124" t="s">
        <v>206</v>
      </c>
    </row>
    <row r="13" spans="1:9" ht="12.75">
      <c r="A13" s="124" t="s">
        <v>211</v>
      </c>
      <c r="B13" s="124" t="s">
        <v>205</v>
      </c>
      <c r="C13" s="156">
        <v>6</v>
      </c>
      <c r="D13" s="157">
        <v>1200</v>
      </c>
      <c r="E13" s="124">
        <v>20</v>
      </c>
      <c r="F13" s="124">
        <v>75</v>
      </c>
      <c r="G13" s="157">
        <v>8000</v>
      </c>
      <c r="H13" s="124">
        <f t="shared" si="0"/>
        <v>55</v>
      </c>
      <c r="I13" s="124" t="s">
        <v>206</v>
      </c>
    </row>
    <row r="14" spans="1:9" ht="12.75">
      <c r="A14" s="124" t="s">
        <v>211</v>
      </c>
      <c r="B14" s="124" t="s">
        <v>210</v>
      </c>
      <c r="C14" s="156">
        <v>6.31</v>
      </c>
      <c r="D14" s="157">
        <v>1200</v>
      </c>
      <c r="E14" s="124">
        <v>20</v>
      </c>
      <c r="F14" s="124">
        <v>75</v>
      </c>
      <c r="G14" s="157">
        <v>8000</v>
      </c>
      <c r="H14" s="124">
        <f t="shared" si="0"/>
        <v>55</v>
      </c>
      <c r="I14" s="124" t="s">
        <v>206</v>
      </c>
    </row>
    <row r="15" spans="1:9" ht="12.75">
      <c r="A15" s="124" t="s">
        <v>212</v>
      </c>
      <c r="B15" s="124" t="s">
        <v>205</v>
      </c>
      <c r="C15" s="156">
        <v>6.3</v>
      </c>
      <c r="D15" s="157">
        <v>1380</v>
      </c>
      <c r="E15" s="124">
        <v>23</v>
      </c>
      <c r="F15" s="124">
        <v>100</v>
      </c>
      <c r="G15" s="157">
        <v>8000</v>
      </c>
      <c r="H15" s="124">
        <f t="shared" si="0"/>
        <v>77</v>
      </c>
      <c r="I15" s="124" t="s">
        <v>213</v>
      </c>
    </row>
    <row r="16" spans="1:9" ht="12.75">
      <c r="A16" s="124" t="s">
        <v>212</v>
      </c>
      <c r="B16" s="124" t="s">
        <v>210</v>
      </c>
      <c r="C16" s="156">
        <v>6.55</v>
      </c>
      <c r="D16" s="157">
        <v>1380</v>
      </c>
      <c r="E16" s="124">
        <v>23</v>
      </c>
      <c r="F16" s="124">
        <v>100</v>
      </c>
      <c r="G16" s="157">
        <v>8000</v>
      </c>
      <c r="H16" s="124">
        <f t="shared" si="0"/>
        <v>77</v>
      </c>
      <c r="I16" s="124" t="s">
        <v>213</v>
      </c>
    </row>
    <row r="17" ht="12.75">
      <c r="D17" s="89"/>
    </row>
    <row r="18" spans="1:4" ht="12.75">
      <c r="A18" s="151" t="s">
        <v>214</v>
      </c>
      <c r="B18" s="151"/>
      <c r="D18" s="89"/>
    </row>
    <row r="19" spans="1:9" ht="38.25">
      <c r="A19" s="155" t="s">
        <v>196</v>
      </c>
      <c r="B19" s="155" t="s">
        <v>197</v>
      </c>
      <c r="C19" s="155" t="s">
        <v>198</v>
      </c>
      <c r="D19" s="155" t="s">
        <v>199</v>
      </c>
      <c r="E19" s="155" t="s">
        <v>200</v>
      </c>
      <c r="F19" s="155" t="s">
        <v>201</v>
      </c>
      <c r="G19" s="155" t="s">
        <v>202</v>
      </c>
      <c r="H19" s="155" t="s">
        <v>174</v>
      </c>
      <c r="I19" s="155" t="s">
        <v>203</v>
      </c>
    </row>
    <row r="20" spans="1:9" ht="12.75">
      <c r="A20" s="124" t="s">
        <v>215</v>
      </c>
      <c r="B20" s="124" t="s">
        <v>205</v>
      </c>
      <c r="C20" s="156">
        <v>5.75</v>
      </c>
      <c r="D20" s="157">
        <v>900</v>
      </c>
      <c r="E20" s="124">
        <v>15</v>
      </c>
      <c r="F20" s="124">
        <v>60</v>
      </c>
      <c r="G20" s="157">
        <v>10000</v>
      </c>
      <c r="H20" s="124">
        <f>F20-E20</f>
        <v>45</v>
      </c>
      <c r="I20" s="124" t="s">
        <v>206</v>
      </c>
    </row>
    <row r="21" spans="1:9" ht="12.75">
      <c r="A21" s="124" t="s">
        <v>216</v>
      </c>
      <c r="B21" s="124" t="s">
        <v>205</v>
      </c>
      <c r="C21" s="156">
        <v>6</v>
      </c>
      <c r="D21" s="157">
        <v>1200</v>
      </c>
      <c r="E21" s="124">
        <v>20</v>
      </c>
      <c r="F21" s="124">
        <v>75</v>
      </c>
      <c r="G21" s="157">
        <v>10000</v>
      </c>
      <c r="H21" s="124">
        <f>F21-E21</f>
        <v>55</v>
      </c>
      <c r="I21" s="124" t="s">
        <v>206</v>
      </c>
    </row>
    <row r="22" spans="1:9" ht="12.75">
      <c r="A22" s="124" t="s">
        <v>217</v>
      </c>
      <c r="B22" s="124" t="s">
        <v>205</v>
      </c>
      <c r="C22" s="156">
        <v>6.3</v>
      </c>
      <c r="D22" s="157">
        <v>1380</v>
      </c>
      <c r="E22" s="124">
        <v>23</v>
      </c>
      <c r="F22" s="124">
        <v>100</v>
      </c>
      <c r="G22" s="157">
        <v>10000</v>
      </c>
      <c r="H22" s="124">
        <f>F22-E22</f>
        <v>77</v>
      </c>
      <c r="I22" s="124" t="s">
        <v>213</v>
      </c>
    </row>
    <row r="23" spans="1:9" ht="12.75">
      <c r="A23" s="124" t="s">
        <v>218</v>
      </c>
      <c r="B23" s="124" t="s">
        <v>205</v>
      </c>
      <c r="C23" s="156">
        <v>6.5</v>
      </c>
      <c r="D23" s="157">
        <v>1560</v>
      </c>
      <c r="E23" s="124">
        <v>26</v>
      </c>
      <c r="F23" s="124">
        <v>100</v>
      </c>
      <c r="G23" s="157">
        <v>10000</v>
      </c>
      <c r="H23" s="124">
        <f>F23-E23</f>
        <v>74</v>
      </c>
      <c r="I23" s="124" t="s">
        <v>213</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N40"/>
  <sheetViews>
    <sheetView zoomScale="80" zoomScaleNormal="80" workbookViewId="0" topLeftCell="A2">
      <selection activeCell="G19" sqref="G19"/>
    </sheetView>
  </sheetViews>
  <sheetFormatPr defaultColWidth="9.140625" defaultRowHeight="12.75"/>
  <cols>
    <col min="1" max="1" width="33.7109375" style="0" customWidth="1"/>
    <col min="2" max="2" width="9.00390625" style="0" customWidth="1"/>
    <col min="4" max="4" width="10.57421875" style="0" customWidth="1"/>
    <col min="5" max="5" width="13.421875" style="0" customWidth="1"/>
  </cols>
  <sheetData>
    <row r="1" spans="1:7" ht="12.75">
      <c r="A1" s="151" t="s">
        <v>370</v>
      </c>
      <c r="F1" s="158" t="s">
        <v>219</v>
      </c>
      <c r="G1" s="159"/>
    </row>
    <row r="2" spans="6:8" ht="13.5" thickBot="1">
      <c r="F2" s="160" t="s">
        <v>169</v>
      </c>
      <c r="G2" s="161"/>
      <c r="H2">
        <v>80</v>
      </c>
    </row>
    <row r="3" ht="13.5" thickBot="1">
      <c r="A3" s="151" t="s">
        <v>220</v>
      </c>
    </row>
    <row r="4" spans="1:5" ht="39" thickBot="1">
      <c r="A4" s="162"/>
      <c r="B4" s="163" t="s">
        <v>221</v>
      </c>
      <c r="C4" s="163" t="s">
        <v>222</v>
      </c>
      <c r="D4" s="163" t="s">
        <v>223</v>
      </c>
      <c r="E4" s="164" t="s">
        <v>224</v>
      </c>
    </row>
    <row r="5" spans="1:5" ht="12.75">
      <c r="A5" s="165" t="s">
        <v>23</v>
      </c>
      <c r="B5" s="166">
        <f>'[1]Summary of Residential Units'!$G$12</f>
        <v>0.3026173121835001</v>
      </c>
      <c r="C5" s="166">
        <f>'[1]Summary of Residential Units'!$G$14</f>
        <v>0.4966034117366874</v>
      </c>
      <c r="D5" s="166">
        <f>'[1]Summary of Residential Units'!$G$13</f>
        <v>0.20077927607981252</v>
      </c>
      <c r="E5" s="167">
        <f>SUM(B5:D5)</f>
        <v>0.9999999999999999</v>
      </c>
    </row>
    <row r="6" spans="1:5" ht="12.75">
      <c r="A6" s="123" t="s">
        <v>225</v>
      </c>
      <c r="B6" s="168">
        <v>0.75</v>
      </c>
      <c r="C6" s="168">
        <v>1</v>
      </c>
      <c r="D6" s="168">
        <f>7.7/3.413*B6</f>
        <v>1.6920597714620569</v>
      </c>
      <c r="E6" s="169">
        <f>SUMPRODUCT(B$5:D$5,B6:D6)</f>
        <v>1.0632969318722372</v>
      </c>
    </row>
    <row r="7" spans="1:5" ht="12.75">
      <c r="A7" s="123" t="s">
        <v>364</v>
      </c>
      <c r="B7" s="170">
        <f>'[1]Summary of Residential Units'!$F$12</f>
        <v>0.30437009175225693</v>
      </c>
      <c r="C7" s="170">
        <f>'[1]Summary of Residential Units'!$F$14</f>
        <v>0.5838102108781936</v>
      </c>
      <c r="D7" s="170">
        <f>'[1]Summary of Residential Units'!$F$13</f>
        <v>0.1118196973695496</v>
      </c>
      <c r="E7" s="171">
        <f>'[2]PNW Existing Characteristics'!$F$20</f>
        <v>0.419631940634978</v>
      </c>
    </row>
    <row r="8" spans="1:5" ht="12.75">
      <c r="A8" s="123" t="s">
        <v>365</v>
      </c>
      <c r="B8" s="124"/>
      <c r="C8" s="124"/>
      <c r="D8" s="124"/>
      <c r="E8" s="172">
        <f>'[1]Summary of Residential Units'!$H$18</f>
        <v>0.39716767160370814</v>
      </c>
    </row>
    <row r="9" spans="1:5" ht="12.75">
      <c r="A9" s="123" t="s">
        <v>23</v>
      </c>
      <c r="B9" s="168">
        <f>B11/E11</f>
        <v>0.5757338394883961</v>
      </c>
      <c r="C9" s="168">
        <v>0</v>
      </c>
      <c r="D9" s="168">
        <f>D11/E11</f>
        <v>0.424266160511604</v>
      </c>
      <c r="E9" s="173"/>
    </row>
    <row r="10" spans="1:5" ht="12.75">
      <c r="A10" s="123" t="s">
        <v>226</v>
      </c>
      <c r="B10" s="170">
        <f>12*0.65/3.413*$B6</f>
        <v>1.714034573688837</v>
      </c>
      <c r="C10" s="170">
        <f>12*0.65/3.413*$B6</f>
        <v>1.714034573688837</v>
      </c>
      <c r="D10" s="170">
        <f>12*0.65/3.413*$B6</f>
        <v>1.714034573688837</v>
      </c>
      <c r="E10" s="169">
        <f>SUMPRODUCT(B$9:D$9,B10:D10)</f>
        <v>1.7140345736888372</v>
      </c>
    </row>
    <row r="11" spans="1:5" ht="13.5" thickBot="1">
      <c r="A11" s="174" t="s">
        <v>227</v>
      </c>
      <c r="B11" s="175">
        <f>'[1]Summary of Residential Units'!$E$18</f>
        <v>0.2724596827796487</v>
      </c>
      <c r="C11" s="175">
        <v>0</v>
      </c>
      <c r="D11" s="175">
        <f>D5</f>
        <v>0.20077927607981252</v>
      </c>
      <c r="E11" s="176">
        <f>SUM(B11:D11)</f>
        <v>0.4732389588594612</v>
      </c>
    </row>
    <row r="12" spans="1:5" ht="12.75">
      <c r="A12" s="233" t="s">
        <v>366</v>
      </c>
      <c r="B12" s="177"/>
      <c r="C12" s="177"/>
      <c r="D12" s="177"/>
      <c r="E12" s="177"/>
    </row>
    <row r="13" ht="12.75">
      <c r="A13" s="178" t="s">
        <v>367</v>
      </c>
    </row>
    <row r="14" ht="12.75">
      <c r="A14" s="178"/>
    </row>
    <row r="15" ht="12.75">
      <c r="A15" t="s">
        <v>368</v>
      </c>
    </row>
    <row r="16" ht="12.75">
      <c r="A16" s="179" t="s">
        <v>369</v>
      </c>
    </row>
    <row r="18" ht="13.5" thickBot="1">
      <c r="A18" s="151" t="s">
        <v>228</v>
      </c>
    </row>
    <row r="19" spans="1:4" ht="26.25" thickBot="1">
      <c r="A19" s="180" t="s">
        <v>229</v>
      </c>
      <c r="B19" s="181" t="s">
        <v>230</v>
      </c>
      <c r="C19" s="181" t="s">
        <v>231</v>
      </c>
      <c r="D19" s="182" t="s">
        <v>232</v>
      </c>
    </row>
    <row r="20" spans="1:4" ht="12.75">
      <c r="A20" s="165" t="s">
        <v>233</v>
      </c>
      <c r="B20" s="166">
        <f>'Bulb Assumptions'!I7</f>
        <v>0.8648648648648649</v>
      </c>
      <c r="C20" s="166">
        <f>'Bulb Assumptions'!J7</f>
        <v>0.13513513513513514</v>
      </c>
      <c r="D20" s="167">
        <f>SUM(B20:C20)</f>
        <v>1</v>
      </c>
    </row>
    <row r="21" spans="1:4" ht="12.75">
      <c r="A21" s="123" t="s">
        <v>234</v>
      </c>
      <c r="B21" s="168">
        <v>0.5</v>
      </c>
      <c r="C21" s="168">
        <v>0</v>
      </c>
      <c r="D21" s="169">
        <f aca="true" t="shared" si="0" ref="D21:D27">SUMPRODUCT(B$20:C$20,B21:C21)</f>
        <v>0.43243243243243246</v>
      </c>
    </row>
    <row r="22" spans="1:4" ht="12.75">
      <c r="A22" s="123" t="s">
        <v>235</v>
      </c>
      <c r="B22" s="183">
        <f>E8</f>
        <v>0.39716767160370814</v>
      </c>
      <c r="C22" s="184">
        <v>0</v>
      </c>
      <c r="D22" s="169">
        <f t="shared" si="0"/>
        <v>0.3434963646302341</v>
      </c>
    </row>
    <row r="23" spans="1:4" ht="12.75">
      <c r="A23" s="123" t="s">
        <v>236</v>
      </c>
      <c r="B23" s="183">
        <f>E11</f>
        <v>0.4732389588594612</v>
      </c>
      <c r="C23" s="183">
        <v>0</v>
      </c>
      <c r="D23" s="169">
        <f t="shared" si="0"/>
        <v>0.4092877482027773</v>
      </c>
    </row>
    <row r="24" spans="1:4" ht="12.75">
      <c r="A24" s="123" t="s">
        <v>237</v>
      </c>
      <c r="B24" s="168">
        <f>-B40</f>
        <v>-0.2667482750945916</v>
      </c>
      <c r="C24" s="168">
        <v>0</v>
      </c>
      <c r="D24" s="169">
        <f t="shared" si="0"/>
        <v>-0.23070121089261977</v>
      </c>
    </row>
    <row r="25" spans="1:4" ht="12.75">
      <c r="A25" s="123" t="s">
        <v>238</v>
      </c>
      <c r="B25" s="184">
        <f>B21*B22/E6</f>
        <v>0.18676235193511811</v>
      </c>
      <c r="C25" s="184">
        <f>C21*C22/E5</f>
        <v>0</v>
      </c>
      <c r="D25" s="169">
        <f t="shared" si="0"/>
        <v>0.16152419626821027</v>
      </c>
    </row>
    <row r="26" spans="1:4" ht="12.75">
      <c r="A26" s="123" t="s">
        <v>239</v>
      </c>
      <c r="B26" s="184">
        <f>B23*B24/E10</f>
        <v>-0.07364826703095328</v>
      </c>
      <c r="C26" s="184">
        <f>C23*C24/E10</f>
        <v>0</v>
      </c>
      <c r="D26" s="169">
        <f t="shared" si="0"/>
        <v>-0.0636957985132569</v>
      </c>
    </row>
    <row r="27" spans="1:4" ht="13.5" thickBot="1">
      <c r="A27" s="185" t="s">
        <v>240</v>
      </c>
      <c r="B27" s="186">
        <f>B25+B26</f>
        <v>0.11311408490416483</v>
      </c>
      <c r="C27" s="186">
        <f>C25+C26</f>
        <v>0</v>
      </c>
      <c r="D27" s="176">
        <f t="shared" si="0"/>
        <v>0.09782839775495338</v>
      </c>
    </row>
    <row r="28" ht="12.75">
      <c r="A28" s="187" t="s">
        <v>241</v>
      </c>
    </row>
    <row r="29" ht="12.75">
      <c r="A29" s="187" t="s">
        <v>242</v>
      </c>
    </row>
    <row r="30" ht="12.75">
      <c r="A30" s="187" t="s">
        <v>243</v>
      </c>
    </row>
    <row r="33" spans="1:14" ht="15">
      <c r="A33" s="225"/>
      <c r="B33" t="s">
        <v>346</v>
      </c>
      <c r="C33" t="s">
        <v>347</v>
      </c>
      <c r="D33" t="s">
        <v>348</v>
      </c>
      <c r="E33" t="s">
        <v>349</v>
      </c>
      <c r="F33" t="s">
        <v>350</v>
      </c>
      <c r="G33" t="s">
        <v>351</v>
      </c>
      <c r="H33" t="s">
        <v>352</v>
      </c>
      <c r="I33" t="s">
        <v>353</v>
      </c>
      <c r="J33" t="s">
        <v>354</v>
      </c>
      <c r="K33" t="s">
        <v>355</v>
      </c>
      <c r="L33" t="s">
        <v>356</v>
      </c>
      <c r="M33" t="s">
        <v>357</v>
      </c>
      <c r="N33" t="s">
        <v>57</v>
      </c>
    </row>
    <row r="34" spans="1:14" ht="15">
      <c r="A34" s="226" t="s">
        <v>358</v>
      </c>
      <c r="B34">
        <v>445</v>
      </c>
      <c r="C34">
        <v>376</v>
      </c>
      <c r="D34">
        <v>378</v>
      </c>
      <c r="E34">
        <v>335</v>
      </c>
      <c r="F34">
        <v>338</v>
      </c>
      <c r="G34">
        <v>324</v>
      </c>
      <c r="H34">
        <v>337</v>
      </c>
      <c r="I34">
        <v>345</v>
      </c>
      <c r="J34">
        <v>343</v>
      </c>
      <c r="K34">
        <v>375</v>
      </c>
      <c r="L34">
        <v>407</v>
      </c>
      <c r="M34">
        <v>490</v>
      </c>
      <c r="N34">
        <f>SUM(B34:M34)</f>
        <v>4493</v>
      </c>
    </row>
    <row r="35" spans="1:14" ht="12.75">
      <c r="A35" t="s">
        <v>359</v>
      </c>
      <c r="B35" s="227">
        <f>B34/$N34</f>
        <v>0.09904295570888048</v>
      </c>
      <c r="C35" s="227">
        <f aca="true" t="shared" si="1" ref="C35:N35">C34/$N34</f>
        <v>0.08368573336300912</v>
      </c>
      <c r="D35" s="227">
        <f t="shared" si="1"/>
        <v>0.0841308702425996</v>
      </c>
      <c r="E35" s="227">
        <f t="shared" si="1"/>
        <v>0.0745604273314044</v>
      </c>
      <c r="F35" s="227">
        <f t="shared" si="1"/>
        <v>0.07522813265079012</v>
      </c>
      <c r="G35" s="227">
        <f t="shared" si="1"/>
        <v>0.0721121744936568</v>
      </c>
      <c r="H35" s="227">
        <f t="shared" si="1"/>
        <v>0.07500556421099489</v>
      </c>
      <c r="I35" s="227">
        <f t="shared" si="1"/>
        <v>0.07678611172935677</v>
      </c>
      <c r="J35" s="227">
        <f t="shared" si="1"/>
        <v>0.0763409748497663</v>
      </c>
      <c r="K35" s="227">
        <f t="shared" si="1"/>
        <v>0.08346316492321389</v>
      </c>
      <c r="L35" s="227">
        <f t="shared" si="1"/>
        <v>0.09058535499666147</v>
      </c>
      <c r="M35" s="227">
        <f t="shared" si="1"/>
        <v>0.10905853549966615</v>
      </c>
      <c r="N35" s="227">
        <f t="shared" si="1"/>
        <v>1</v>
      </c>
    </row>
    <row r="36" spans="1:13" ht="12.75">
      <c r="A36" t="s">
        <v>360</v>
      </c>
      <c r="B36" s="228">
        <v>0</v>
      </c>
      <c r="C36" s="228">
        <v>0</v>
      </c>
      <c r="D36" s="228">
        <v>0</v>
      </c>
      <c r="E36" s="228">
        <v>0.0040100495893241805</v>
      </c>
      <c r="F36" s="228">
        <v>0.04534132801403668</v>
      </c>
      <c r="G36" s="228">
        <v>0.0818697611232761</v>
      </c>
      <c r="H36" s="228">
        <v>0.5046524897065825</v>
      </c>
      <c r="I36" s="228">
        <v>0.3240374394075517</v>
      </c>
      <c r="J36" s="228">
        <v>0.09889843062136863</v>
      </c>
      <c r="K36" s="228">
        <v>0.0026733663928827883</v>
      </c>
      <c r="L36" s="228">
        <v>0</v>
      </c>
      <c r="M36" s="228">
        <v>0</v>
      </c>
    </row>
    <row r="38" spans="1:14" ht="12.75">
      <c r="A38" t="s">
        <v>362</v>
      </c>
      <c r="B38" s="229">
        <f>B35*$N38</f>
        <v>5.0511907411529045</v>
      </c>
      <c r="C38" s="229">
        <f aca="true" t="shared" si="2" ref="C38:M38">C35*$N38</f>
        <v>4.2679724015134655</v>
      </c>
      <c r="D38" s="229">
        <f t="shared" si="2"/>
        <v>4.29067438237258</v>
      </c>
      <c r="E38" s="229">
        <f t="shared" si="2"/>
        <v>3.8025817939016244</v>
      </c>
      <c r="F38" s="229">
        <f t="shared" si="2"/>
        <v>3.836634765190296</v>
      </c>
      <c r="G38" s="229">
        <f t="shared" si="2"/>
        <v>3.6777208991764967</v>
      </c>
      <c r="H38" s="229">
        <f t="shared" si="2"/>
        <v>3.8252837747607393</v>
      </c>
      <c r="I38" s="229">
        <f t="shared" si="2"/>
        <v>3.9160916981971954</v>
      </c>
      <c r="J38" s="229">
        <f t="shared" si="2"/>
        <v>3.8933897173380814</v>
      </c>
      <c r="K38" s="229">
        <f t="shared" si="2"/>
        <v>4.256621411083908</v>
      </c>
      <c r="L38" s="229">
        <f t="shared" si="2"/>
        <v>4.619853104829735</v>
      </c>
      <c r="M38" s="229">
        <f t="shared" si="2"/>
        <v>5.5619853104829735</v>
      </c>
      <c r="N38" s="230">
        <v>51</v>
      </c>
    </row>
    <row r="39" spans="1:14" ht="25.5">
      <c r="A39" s="231" t="s">
        <v>361</v>
      </c>
      <c r="B39" s="232">
        <f>IF(B36&gt;0,B38*0.5,0)</f>
        <v>0</v>
      </c>
      <c r="C39" s="232">
        <f aca="true" t="shared" si="3" ref="C39:M39">IF(C36&gt;0,C38*0.5,0)</f>
        <v>0</v>
      </c>
      <c r="D39" s="232">
        <f t="shared" si="3"/>
        <v>0</v>
      </c>
      <c r="E39" s="232">
        <f t="shared" si="3"/>
        <v>1.9012908969508122</v>
      </c>
      <c r="F39" s="232">
        <f t="shared" si="3"/>
        <v>1.918317382595148</v>
      </c>
      <c r="G39" s="232">
        <f t="shared" si="3"/>
        <v>1.8388604495882483</v>
      </c>
      <c r="H39" s="232">
        <f t="shared" si="3"/>
        <v>1.9126418873803697</v>
      </c>
      <c r="I39" s="232">
        <f t="shared" si="3"/>
        <v>1.9580458490985977</v>
      </c>
      <c r="J39" s="232">
        <f t="shared" si="3"/>
        <v>1.9466948586690407</v>
      </c>
      <c r="K39" s="232">
        <f t="shared" si="3"/>
        <v>2.128310705541954</v>
      </c>
      <c r="L39" s="232">
        <f t="shared" si="3"/>
        <v>0</v>
      </c>
      <c r="M39" s="232">
        <f t="shared" si="3"/>
        <v>0</v>
      </c>
      <c r="N39" s="230">
        <f>SUM(B39:M39)</f>
        <v>13.60416202982417</v>
      </c>
    </row>
    <row r="40" spans="1:2" ht="25.5">
      <c r="A40" s="231" t="s">
        <v>363</v>
      </c>
      <c r="B40" s="228">
        <f>SUM(B39:M39)/N38</f>
        <v>0.2667482750945916</v>
      </c>
    </row>
  </sheetData>
  <printOptions/>
  <pageMargins left="0.75" right="0.75" top="1" bottom="1" header="0.5" footer="0.5"/>
  <pageSetup orientation="portrait" r:id="rId3"/>
  <legacyDrawing r:id="rId2"/>
</worksheet>
</file>

<file path=xl/worksheets/sheet8.xml><?xml version="1.0" encoding="utf-8"?>
<worksheet xmlns="http://schemas.openxmlformats.org/spreadsheetml/2006/main" xmlns:r="http://schemas.openxmlformats.org/officeDocument/2006/relationships">
  <sheetPr codeName="Sheet7"/>
  <dimension ref="A1:AA116"/>
  <sheetViews>
    <sheetView zoomScale="50" zoomScaleNormal="50" workbookViewId="0" topLeftCell="A1">
      <selection activeCell="A1" sqref="A1"/>
    </sheetView>
  </sheetViews>
  <sheetFormatPr defaultColWidth="9.140625" defaultRowHeight="12.75"/>
  <cols>
    <col min="1" max="1" width="40.421875" style="189" customWidth="1"/>
    <col min="2" max="2" width="14.421875" style="189" customWidth="1"/>
    <col min="3" max="3" width="10.57421875" style="189" customWidth="1"/>
    <col min="4" max="4" width="19.421875" style="189" customWidth="1"/>
    <col min="5" max="5" width="11.8515625" style="189" customWidth="1"/>
    <col min="6" max="6" width="19.8515625" style="189" customWidth="1"/>
    <col min="7" max="7" width="12.140625" style="189" customWidth="1"/>
    <col min="8" max="8" width="13.421875" style="189" customWidth="1"/>
    <col min="9" max="9" width="14.57421875" style="189" customWidth="1"/>
    <col min="10" max="10" width="12.421875" style="189" customWidth="1"/>
    <col min="11" max="21" width="10.57421875" style="189" customWidth="1"/>
    <col min="22" max="22" width="12.421875" style="189" customWidth="1"/>
    <col min="23" max="23" width="11.57421875" style="189" customWidth="1"/>
    <col min="24" max="24" width="14.421875" style="189" customWidth="1"/>
    <col min="25" max="25" width="13.421875" style="189" customWidth="1"/>
    <col min="26" max="26" width="14.421875" style="189" customWidth="1"/>
    <col min="27" max="27" width="16.57421875" style="189" customWidth="1"/>
    <col min="28" max="16384" width="10.57421875" style="189" customWidth="1"/>
  </cols>
  <sheetData>
    <row r="1" ht="15">
      <c r="A1" s="188" t="s">
        <v>244</v>
      </c>
    </row>
    <row r="2" ht="15">
      <c r="A2" s="190" t="s">
        <v>245</v>
      </c>
    </row>
    <row r="3" spans="1:16" ht="15">
      <c r="A3" s="191"/>
      <c r="B3" s="192" t="s">
        <v>246</v>
      </c>
      <c r="C3" s="192"/>
      <c r="D3" s="192"/>
      <c r="E3" s="192" t="s">
        <v>247</v>
      </c>
      <c r="F3" s="192"/>
      <c r="G3" s="192"/>
      <c r="H3" s="192" t="s">
        <v>248</v>
      </c>
      <c r="I3" s="192"/>
      <c r="J3" s="192"/>
      <c r="K3" s="192" t="s">
        <v>249</v>
      </c>
      <c r="L3" s="192"/>
      <c r="M3" s="192"/>
      <c r="N3" s="192" t="s">
        <v>250</v>
      </c>
      <c r="O3" s="192"/>
      <c r="P3" s="192"/>
    </row>
    <row r="4" spans="1:16" ht="15">
      <c r="A4" s="191" t="s">
        <v>251</v>
      </c>
      <c r="B4" s="191" t="s">
        <v>252</v>
      </c>
      <c r="C4" s="191" t="s">
        <v>253</v>
      </c>
      <c r="D4" s="191" t="s">
        <v>254</v>
      </c>
      <c r="E4" s="191" t="s">
        <v>252</v>
      </c>
      <c r="F4" s="191" t="s">
        <v>253</v>
      </c>
      <c r="G4" s="191" t="s">
        <v>254</v>
      </c>
      <c r="H4" s="191" t="s">
        <v>252</v>
      </c>
      <c r="I4" s="191" t="s">
        <v>253</v>
      </c>
      <c r="J4" s="191" t="s">
        <v>254</v>
      </c>
      <c r="K4" s="191" t="s">
        <v>252</v>
      </c>
      <c r="L4" s="191" t="s">
        <v>253</v>
      </c>
      <c r="M4" s="191" t="s">
        <v>254</v>
      </c>
      <c r="N4" s="191" t="s">
        <v>252</v>
      </c>
      <c r="O4" s="191" t="s">
        <v>253</v>
      </c>
      <c r="P4" s="191" t="s">
        <v>254</v>
      </c>
    </row>
    <row r="5" spans="1:16" ht="15">
      <c r="A5" s="193" t="s">
        <v>255</v>
      </c>
      <c r="B5" s="191">
        <v>11349</v>
      </c>
      <c r="C5" s="194">
        <f>B5/B$32</f>
        <v>0.0392811776392528</v>
      </c>
      <c r="D5" s="194">
        <f>B5/B$36</f>
        <v>0.010392638250293263</v>
      </c>
      <c r="E5" s="191">
        <v>22773</v>
      </c>
      <c r="F5" s="194">
        <f>E5/E$32</f>
        <v>0.05351326963657128</v>
      </c>
      <c r="G5" s="194">
        <f>E5/E$36</f>
        <v>0.012553920447184836</v>
      </c>
      <c r="H5" s="191">
        <v>3196</v>
      </c>
      <c r="I5" s="194">
        <f>H5/H$32</f>
        <v>0.030417816693632815</v>
      </c>
      <c r="J5" s="194">
        <f>H5/H$36</f>
        <v>0.008888839444642221</v>
      </c>
      <c r="K5" s="191">
        <v>3894</v>
      </c>
      <c r="L5" s="194">
        <f>K5/K$32</f>
        <v>0.12295936088919764</v>
      </c>
      <c r="M5" s="194">
        <f>K5/K$36</f>
        <v>0.04174170311294057</v>
      </c>
      <c r="N5" s="191">
        <f>B5+E5+H5+K5</f>
        <v>41212</v>
      </c>
      <c r="O5" s="194">
        <f>N5/N$32</f>
        <v>0.048415557074954124</v>
      </c>
      <c r="P5" s="194">
        <f>N5/N$36</f>
        <v>0.012269573351577521</v>
      </c>
    </row>
    <row r="6" spans="1:16" ht="15">
      <c r="A6" s="195" t="s">
        <v>256</v>
      </c>
      <c r="B6" s="191">
        <v>27338</v>
      </c>
      <c r="C6" s="194">
        <f>B6/B$32</f>
        <v>0.09462233098086995</v>
      </c>
      <c r="D6" s="194">
        <f>B6/B$36</f>
        <v>0.025034271256191492</v>
      </c>
      <c r="E6" s="191">
        <v>36403</v>
      </c>
      <c r="F6" s="194">
        <f>E6/E$32</f>
        <v>0.08554180628727459</v>
      </c>
      <c r="G6" s="194">
        <f>E6/E$36</f>
        <v>0.02006764001400209</v>
      </c>
      <c r="H6" s="191">
        <v>6397</v>
      </c>
      <c r="I6" s="194">
        <f>H6/H$32</f>
        <v>0.06088322071000286</v>
      </c>
      <c r="J6" s="194">
        <f>H6/H$36</f>
        <v>0.017791585083659665</v>
      </c>
      <c r="K6" s="191">
        <v>2705</v>
      </c>
      <c r="L6" s="194">
        <f>K6/K$32</f>
        <v>0.08541475891250118</v>
      </c>
      <c r="M6" s="194">
        <f>K6/K$36</f>
        <v>0.028996226738701655</v>
      </c>
      <c r="N6" s="191">
        <f>B6+E6+H6+K6</f>
        <v>72843</v>
      </c>
      <c r="O6" s="194">
        <f>N6/N$32</f>
        <v>0.0855754252162206</v>
      </c>
      <c r="P6" s="194">
        <f>N6/N$36</f>
        <v>0.021686706096500082</v>
      </c>
    </row>
    <row r="7" spans="1:16" ht="15">
      <c r="A7" s="193" t="s">
        <v>257</v>
      </c>
      <c r="B7" s="191">
        <v>1088</v>
      </c>
      <c r="C7" s="194">
        <f>B7/B$32</f>
        <v>0.00376578740607164</v>
      </c>
      <c r="D7" s="194">
        <f>B7/B$36</f>
        <v>0.000996316011659095</v>
      </c>
      <c r="E7" s="191">
        <v>70</v>
      </c>
      <c r="F7" s="194">
        <f>E7/E$32</f>
        <v>0.0001644899167681021</v>
      </c>
      <c r="G7" s="194">
        <f>E7/E$36</f>
        <v>3.858843504601671E-05</v>
      </c>
      <c r="H7" s="191">
        <v>109</v>
      </c>
      <c r="I7" s="194">
        <f>H7/H$32</f>
        <v>0.0010374036356714572</v>
      </c>
      <c r="J7" s="194">
        <f>H7/H$36</f>
        <v>0.00030315503737985046</v>
      </c>
      <c r="K7" s="191">
        <v>15</v>
      </c>
      <c r="L7" s="194">
        <f>K7/K$32</f>
        <v>0.00047364931005083833</v>
      </c>
      <c r="M7" s="194">
        <f>K7/K$36</f>
        <v>0.00016079238487265243</v>
      </c>
      <c r="N7" s="191">
        <f>B7+E7+H7+K7</f>
        <v>1282</v>
      </c>
      <c r="O7" s="194">
        <f>N7/N$32</f>
        <v>0.0015060842514338345</v>
      </c>
      <c r="P7" s="194">
        <f>N7/N$36</f>
        <v>0.00038167507125891445</v>
      </c>
    </row>
    <row r="8" spans="1:16" ht="15">
      <c r="A8" s="193" t="s">
        <v>258</v>
      </c>
      <c r="B8" s="191">
        <v>245149</v>
      </c>
      <c r="C8" s="194">
        <f>B8/B$32</f>
        <v>0.8485101257454563</v>
      </c>
      <c r="D8" s="194">
        <f>B8/B$36</f>
        <v>0.22449069296159513</v>
      </c>
      <c r="E8" s="191">
        <v>364590</v>
      </c>
      <c r="F8" s="194">
        <f>E8/E$32</f>
        <v>0.8567339822068907</v>
      </c>
      <c r="G8" s="194">
        <f>E8/E$36</f>
        <v>0.20098510762038901</v>
      </c>
      <c r="H8" s="191">
        <v>94265</v>
      </c>
      <c r="I8" s="194">
        <f>H8/H$32</f>
        <v>0.8971637955648615</v>
      </c>
      <c r="J8" s="194">
        <f>H8/H$36</f>
        <v>0.26217348255606976</v>
      </c>
      <c r="K8" s="191">
        <v>23866</v>
      </c>
      <c r="L8" s="194">
        <f>K8/K$32</f>
        <v>0.7536076289115539</v>
      </c>
      <c r="M8" s="194">
        <f>K8/K$36</f>
        <v>0.25583140382471486</v>
      </c>
      <c r="N8" s="191">
        <f>B8+E8+H8+K8</f>
        <v>727870</v>
      </c>
      <c r="O8" s="194">
        <f>N8/N$32</f>
        <v>0.855096368245823</v>
      </c>
      <c r="P8" s="194">
        <f>N8/N$36</f>
        <v>0.2167003386249813</v>
      </c>
    </row>
    <row r="9" spans="1:16" ht="15">
      <c r="A9" s="193" t="s">
        <v>259</v>
      </c>
      <c r="B9" s="191">
        <v>3993</v>
      </c>
      <c r="C9" s="194">
        <f>B9/B$32</f>
        <v>0.013820578228349319</v>
      </c>
      <c r="D9" s="194">
        <f>B9/B$36</f>
        <v>0.0036565163920540137</v>
      </c>
      <c r="E9" s="191">
        <v>1722</v>
      </c>
      <c r="F9" s="194">
        <f>E9/E$32</f>
        <v>0.004046451952495312</v>
      </c>
      <c r="G9" s="194">
        <f>E9/E$36</f>
        <v>0.0009492755021320111</v>
      </c>
      <c r="H9" s="191">
        <v>1103</v>
      </c>
      <c r="I9" s="194">
        <f>H9/H$32</f>
        <v>0.01049776339583135</v>
      </c>
      <c r="J9" s="194">
        <f>H9/H$36</f>
        <v>0.003067706479174083</v>
      </c>
      <c r="K9" s="191">
        <v>1189</v>
      </c>
      <c r="L9" s="194">
        <f>K9/K$32</f>
        <v>0.03754460197669646</v>
      </c>
      <c r="M9" s="194">
        <f>K9/K$36</f>
        <v>0.012745476374238916</v>
      </c>
      <c r="N9" s="191">
        <f>B9+E9+H9+K9</f>
        <v>8007</v>
      </c>
      <c r="O9" s="194">
        <f>N9/N$32</f>
        <v>0.00940656521156842</v>
      </c>
      <c r="P9" s="194">
        <f>N9/N$36</f>
        <v>0.002383831743814452</v>
      </c>
    </row>
    <row r="10" spans="1:16" ht="15">
      <c r="A10" s="191" t="s">
        <v>260</v>
      </c>
      <c r="B10" s="191"/>
      <c r="C10" s="191"/>
      <c r="D10" s="194"/>
      <c r="E10" s="191"/>
      <c r="F10" s="191"/>
      <c r="G10" s="194"/>
      <c r="H10" s="191"/>
      <c r="I10" s="191"/>
      <c r="J10" s="194"/>
      <c r="K10" s="191"/>
      <c r="L10" s="191"/>
      <c r="M10" s="191"/>
      <c r="N10" s="191"/>
      <c r="O10" s="191"/>
      <c r="P10" s="191"/>
    </row>
    <row r="11" spans="1:16" ht="15">
      <c r="A11" s="193" t="s">
        <v>255</v>
      </c>
      <c r="B11" s="191">
        <v>2683</v>
      </c>
      <c r="C11" s="194">
        <f>B11/B$33</f>
        <v>0.027907799205309034</v>
      </c>
      <c r="D11" s="194">
        <f>B11/B$36</f>
        <v>0.0024569079588983014</v>
      </c>
      <c r="E11" s="191">
        <v>8153</v>
      </c>
      <c r="F11" s="194">
        <f>E11/E$33</f>
        <v>0.04538369905258119</v>
      </c>
      <c r="G11" s="194">
        <f>E11/E$36</f>
        <v>0.004494450156145346</v>
      </c>
      <c r="H11" s="191">
        <v>1049</v>
      </c>
      <c r="I11" s="194">
        <f>H11/H$33</f>
        <v>0.0270124118040892</v>
      </c>
      <c r="J11" s="194">
        <f>H11/H$36</f>
        <v>0.0029175195799216805</v>
      </c>
      <c r="K11" s="191">
        <v>137</v>
      </c>
      <c r="L11" s="194">
        <f>K11/K$33</f>
        <v>0.02035661218424963</v>
      </c>
      <c r="M11" s="194">
        <f>K11/K$36</f>
        <v>0.001468570448503559</v>
      </c>
      <c r="N11" s="191">
        <f>B11+E11+H11+K11</f>
        <v>12022</v>
      </c>
      <c r="O11" s="194">
        <f>N11/N$33</f>
        <v>0.03741115550742497</v>
      </c>
      <c r="P11" s="194">
        <f>N11/N$36</f>
        <v>0.0035791713780613647</v>
      </c>
    </row>
    <row r="12" spans="1:16" ht="15">
      <c r="A12" s="195" t="s">
        <v>256</v>
      </c>
      <c r="B12" s="191">
        <v>2153</v>
      </c>
      <c r="C12" s="194">
        <f>B12/B$33</f>
        <v>0.022394890677983732</v>
      </c>
      <c r="D12" s="194">
        <f>B12/B$36</f>
        <v>0.001971570195865838</v>
      </c>
      <c r="E12" s="191">
        <v>14282</v>
      </c>
      <c r="F12" s="194">
        <f>E12/E$33</f>
        <v>0.07950079600993064</v>
      </c>
      <c r="G12" s="194">
        <f>E12/E$36</f>
        <v>0.00787314327610301</v>
      </c>
      <c r="H12" s="191">
        <v>1435</v>
      </c>
      <c r="I12" s="194">
        <f>H12/H$33</f>
        <v>0.03695215532780553</v>
      </c>
      <c r="J12" s="194">
        <f>H12/H$36</f>
        <v>0.003991077785688857</v>
      </c>
      <c r="K12" s="191">
        <v>327</v>
      </c>
      <c r="L12" s="194">
        <f>K12/K$33</f>
        <v>0.04858841010401189</v>
      </c>
      <c r="M12" s="194">
        <f>K12/K$36</f>
        <v>0.003505273990223823</v>
      </c>
      <c r="N12" s="191">
        <f>B12+E12+H12+K12</f>
        <v>18197</v>
      </c>
      <c r="O12" s="194">
        <f>N12/N$33</f>
        <v>0.05662708341113061</v>
      </c>
      <c r="P12" s="194">
        <f>N12/N$36</f>
        <v>0.005417582895240613</v>
      </c>
    </row>
    <row r="13" spans="1:16" ht="15">
      <c r="A13" s="193" t="s">
        <v>257</v>
      </c>
      <c r="B13" s="191">
        <v>421</v>
      </c>
      <c r="C13" s="194">
        <f>B13/B$33</f>
        <v>0.004379121679252741</v>
      </c>
      <c r="D13" s="194">
        <f>B13/B$36</f>
        <v>0.0003855230155408815</v>
      </c>
      <c r="E13" s="191">
        <v>0</v>
      </c>
      <c r="F13" s="194">
        <f>E13/E$33</f>
        <v>0</v>
      </c>
      <c r="G13" s="194">
        <f>E13/E$36</f>
        <v>0</v>
      </c>
      <c r="H13" s="191">
        <v>332</v>
      </c>
      <c r="I13" s="194">
        <f>H13/H$33</f>
        <v>0.008549209455631663</v>
      </c>
      <c r="J13" s="194">
        <f>H13/H$36</f>
        <v>0.0009233713065147739</v>
      </c>
      <c r="K13" s="191">
        <v>160</v>
      </c>
      <c r="L13" s="194">
        <f>K13/K$33</f>
        <v>0.0237741456166419</v>
      </c>
      <c r="M13" s="194">
        <f>K13/K$36</f>
        <v>0.0017151187719749593</v>
      </c>
      <c r="N13" s="191">
        <f>B13+E13+H13+K13</f>
        <v>913</v>
      </c>
      <c r="O13" s="194">
        <f>N13/N$33</f>
        <v>0.0028411566277057893</v>
      </c>
      <c r="P13" s="194">
        <f>N13/N$36</f>
        <v>0.0002718169579246403</v>
      </c>
    </row>
    <row r="14" spans="1:16" ht="15">
      <c r="A14" s="193" t="s">
        <v>258</v>
      </c>
      <c r="B14" s="191">
        <v>85006</v>
      </c>
      <c r="C14" s="194">
        <f>B14/B$33</f>
        <v>0.8842081174977636</v>
      </c>
      <c r="D14" s="194">
        <f>B14/B$36</f>
        <v>0.07784268280063698</v>
      </c>
      <c r="E14" s="191">
        <v>155448</v>
      </c>
      <c r="F14" s="194">
        <f>E14/E$33</f>
        <v>0.8653017601282522</v>
      </c>
      <c r="G14" s="194">
        <f>E14/E$36</f>
        <v>0.0856927864433315</v>
      </c>
      <c r="H14" s="191">
        <v>35469</v>
      </c>
      <c r="I14" s="194">
        <f>H14/H$33</f>
        <v>0.9133491270536128</v>
      </c>
      <c r="J14" s="194">
        <f>H14/H$36</f>
        <v>0.09864776165895336</v>
      </c>
      <c r="K14" s="191">
        <v>5420</v>
      </c>
      <c r="L14" s="194">
        <f>K14/K$33</f>
        <v>0.8053491827637445</v>
      </c>
      <c r="M14" s="194">
        <f>K14/K$36</f>
        <v>0.058099648400651745</v>
      </c>
      <c r="N14" s="191">
        <f>B14+E14+H14+K14</f>
        <v>281343</v>
      </c>
      <c r="O14" s="194">
        <f>N14/N$33</f>
        <v>0.8755087942044139</v>
      </c>
      <c r="P14" s="194">
        <f>N14/N$36</f>
        <v>0.08376100590732977</v>
      </c>
    </row>
    <row r="15" spans="1:16" ht="15">
      <c r="A15" s="193" t="s">
        <v>259</v>
      </c>
      <c r="B15" s="191">
        <v>5875</v>
      </c>
      <c r="C15" s="194">
        <f>B15/B$33</f>
        <v>0.06111007093969086</v>
      </c>
      <c r="D15" s="194">
        <f>B15/B$36</f>
        <v>0.005379923316633441</v>
      </c>
      <c r="E15" s="191">
        <v>1763</v>
      </c>
      <c r="F15" s="194">
        <f>E15/E$33</f>
        <v>0.009813744809235941</v>
      </c>
      <c r="G15" s="194">
        <f>E15/E$36</f>
        <v>0.0009718772998018209</v>
      </c>
      <c r="H15" s="191">
        <v>549</v>
      </c>
      <c r="I15" s="194">
        <f>H15/H$33</f>
        <v>0.014137096358860792</v>
      </c>
      <c r="J15" s="194">
        <f>H15/H$36</f>
        <v>0.0015269001423994304</v>
      </c>
      <c r="K15" s="191">
        <v>686</v>
      </c>
      <c r="L15" s="194">
        <f>K15/K$33</f>
        <v>0.10193164933135215</v>
      </c>
      <c r="M15" s="194">
        <f>K15/K$36</f>
        <v>0.007353571734842638</v>
      </c>
      <c r="N15" s="191">
        <f>B15+E15+H15+K15</f>
        <v>8873</v>
      </c>
      <c r="O15" s="194">
        <f>N15/N$33</f>
        <v>0.02761181024932472</v>
      </c>
      <c r="P15" s="194">
        <f>N15/N$36</f>
        <v>0.002641655933916028</v>
      </c>
    </row>
    <row r="16" spans="1:16" ht="15">
      <c r="A16" s="191" t="s">
        <v>261</v>
      </c>
      <c r="B16" s="191"/>
      <c r="C16" s="191"/>
      <c r="D16" s="194"/>
      <c r="E16" s="191"/>
      <c r="F16" s="191"/>
      <c r="G16" s="194"/>
      <c r="H16" s="191"/>
      <c r="I16" s="191"/>
      <c r="J16" s="194"/>
      <c r="K16" s="191"/>
      <c r="L16" s="191"/>
      <c r="M16" s="191"/>
      <c r="N16" s="191"/>
      <c r="O16" s="191"/>
      <c r="P16" s="191"/>
    </row>
    <row r="17" spans="1:16" ht="15">
      <c r="A17" s="193" t="s">
        <v>223</v>
      </c>
      <c r="B17" s="191">
        <v>78636</v>
      </c>
      <c r="C17" s="194">
        <f aca="true" t="shared" si="0" ref="C17:C23">B17/B$34</f>
        <v>0.16074900088923413</v>
      </c>
      <c r="D17" s="194">
        <f aca="true" t="shared" si="1" ref="D17:D23">B17/B$36</f>
        <v>0.07200947232796379</v>
      </c>
      <c r="E17" s="191">
        <v>88207</v>
      </c>
      <c r="F17" s="194">
        <f aca="true" t="shared" si="2" ref="F17:F23">E17/E$34</f>
        <v>0.0920687308466311</v>
      </c>
      <c r="G17" s="194">
        <f aca="true" t="shared" si="3" ref="G17:G23">E17/E$36</f>
        <v>0.048625287001485655</v>
      </c>
      <c r="H17" s="191">
        <v>14159</v>
      </c>
      <c r="I17" s="194">
        <f aca="true" t="shared" si="4" ref="I17:I23">H17/H$34</f>
        <v>0.09643650134176077</v>
      </c>
      <c r="J17" s="194">
        <f aca="true" t="shared" si="5" ref="J17:J23">H17/H$36</f>
        <v>0.039379561231755074</v>
      </c>
      <c r="K17" s="191">
        <v>503</v>
      </c>
      <c r="L17" s="194">
        <f aca="true" t="shared" si="6" ref="L17:L23">K17/K$34</f>
        <v>0.02423512406649</v>
      </c>
      <c r="M17" s="194">
        <f aca="true" t="shared" si="7" ref="M17:M23">K17/K$36</f>
        <v>0.005391904639396278</v>
      </c>
      <c r="N17" s="191">
        <f aca="true" t="shared" si="8" ref="N17:N23">B17+E17+H17+K17</f>
        <v>181505</v>
      </c>
      <c r="O17" s="194">
        <f aca="true" t="shared" si="9" ref="O17:O23">N17/N$34</f>
        <v>0.11239966361534241</v>
      </c>
      <c r="P17" s="194">
        <f aca="true" t="shared" si="10" ref="P17:P23">N17/N$36</f>
        <v>0.05403738986649709</v>
      </c>
    </row>
    <row r="18" spans="1:16" ht="15">
      <c r="A18" s="193" t="s">
        <v>262</v>
      </c>
      <c r="B18" s="191">
        <v>9981</v>
      </c>
      <c r="C18" s="194">
        <f t="shared" si="0"/>
        <v>0.020403323895867617</v>
      </c>
      <c r="D18" s="194">
        <f t="shared" si="1"/>
        <v>0.00913991738269249</v>
      </c>
      <c r="E18" s="191">
        <v>16631</v>
      </c>
      <c r="F18" s="194">
        <f t="shared" si="2"/>
        <v>0.017359110532160958</v>
      </c>
      <c r="G18" s="194">
        <f t="shared" si="3"/>
        <v>0.00916806090357577</v>
      </c>
      <c r="H18" s="191">
        <v>1930</v>
      </c>
      <c r="I18" s="194">
        <f t="shared" si="4"/>
        <v>0.013145168980125594</v>
      </c>
      <c r="J18" s="194">
        <f t="shared" si="5"/>
        <v>0.005367791028835884</v>
      </c>
      <c r="K18" s="191">
        <v>731</v>
      </c>
      <c r="L18" s="194">
        <f t="shared" si="6"/>
        <v>0.03522042881233438</v>
      </c>
      <c r="M18" s="194">
        <f t="shared" si="7"/>
        <v>0.007835948889460594</v>
      </c>
      <c r="N18" s="191">
        <f t="shared" si="8"/>
        <v>29273</v>
      </c>
      <c r="O18" s="194">
        <f t="shared" si="9"/>
        <v>0.01812773947280746</v>
      </c>
      <c r="P18" s="194">
        <f t="shared" si="10"/>
        <v>0.00871511260605476</v>
      </c>
    </row>
    <row r="19" spans="1:16" ht="15">
      <c r="A19" s="193" t="s">
        <v>263</v>
      </c>
      <c r="B19" s="191">
        <v>85864</v>
      </c>
      <c r="C19" s="194">
        <f t="shared" si="0"/>
        <v>0.175524597033842</v>
      </c>
      <c r="D19" s="194">
        <f t="shared" si="1"/>
        <v>0.07862838053777256</v>
      </c>
      <c r="E19" s="191">
        <v>99122</v>
      </c>
      <c r="F19" s="194">
        <f t="shared" si="2"/>
        <v>0.10346159305927838</v>
      </c>
      <c r="G19" s="194">
        <f t="shared" si="3"/>
        <v>0.05464232655187526</v>
      </c>
      <c r="H19" s="191">
        <v>41977</v>
      </c>
      <c r="I19" s="194">
        <f t="shared" si="4"/>
        <v>0.2859040198335399</v>
      </c>
      <c r="J19" s="194">
        <f t="shared" si="5"/>
        <v>0.11674806425774296</v>
      </c>
      <c r="K19" s="191">
        <v>1606</v>
      </c>
      <c r="L19" s="194">
        <f t="shared" si="6"/>
        <v>0.07737894483257046</v>
      </c>
      <c r="M19" s="194">
        <f t="shared" si="7"/>
        <v>0.017215504673698652</v>
      </c>
      <c r="N19" s="191">
        <f t="shared" si="8"/>
        <v>228569</v>
      </c>
      <c r="O19" s="194">
        <f t="shared" si="9"/>
        <v>0.14154474374201922</v>
      </c>
      <c r="P19" s="194">
        <f t="shared" si="10"/>
        <v>0.06804921167127832</v>
      </c>
    </row>
    <row r="20" spans="1:16" ht="15">
      <c r="A20" s="193" t="s">
        <v>255</v>
      </c>
      <c r="B20" s="191">
        <v>4371</v>
      </c>
      <c r="C20" s="194">
        <f t="shared" si="0"/>
        <v>0.008935269887670308</v>
      </c>
      <c r="D20" s="194">
        <f t="shared" si="1"/>
        <v>0.00400266294757528</v>
      </c>
      <c r="E20" s="191">
        <v>8283</v>
      </c>
      <c r="F20" s="194">
        <f t="shared" si="2"/>
        <v>0.008645632405621384</v>
      </c>
      <c r="G20" s="194">
        <f t="shared" si="3"/>
        <v>0.004566114392659377</v>
      </c>
      <c r="H20" s="191">
        <v>1598</v>
      </c>
      <c r="I20" s="194">
        <f t="shared" si="4"/>
        <v>0.010883927476808653</v>
      </c>
      <c r="J20" s="194">
        <f t="shared" si="5"/>
        <v>0.004444419722321111</v>
      </c>
      <c r="K20" s="191">
        <v>480</v>
      </c>
      <c r="L20" s="194">
        <f t="shared" si="6"/>
        <v>0.02312695735967237</v>
      </c>
      <c r="M20" s="194">
        <f t="shared" si="7"/>
        <v>0.005145356315924878</v>
      </c>
      <c r="N20" s="191">
        <f t="shared" si="8"/>
        <v>14732</v>
      </c>
      <c r="O20" s="194">
        <f t="shared" si="9"/>
        <v>0.009123009528008728</v>
      </c>
      <c r="P20" s="194">
        <f t="shared" si="10"/>
        <v>0.00438598841636999</v>
      </c>
    </row>
    <row r="21" spans="1:16" ht="15">
      <c r="A21" s="193" t="s">
        <v>258</v>
      </c>
      <c r="B21" s="191">
        <v>136205</v>
      </c>
      <c r="C21" s="194">
        <f t="shared" si="0"/>
        <v>0.2784324948639063</v>
      </c>
      <c r="D21" s="194">
        <f t="shared" si="1"/>
        <v>0.12472722644120134</v>
      </c>
      <c r="E21" s="191">
        <v>312361</v>
      </c>
      <c r="F21" s="194">
        <f t="shared" si="2"/>
        <v>0.32603626510350125</v>
      </c>
      <c r="G21" s="194">
        <f t="shared" si="3"/>
        <v>0.17219317370584036</v>
      </c>
      <c r="H21" s="191">
        <v>48156</v>
      </c>
      <c r="I21" s="194">
        <f t="shared" si="4"/>
        <v>0.3279889934750923</v>
      </c>
      <c r="J21" s="194">
        <f t="shared" si="5"/>
        <v>0.13393333926664294</v>
      </c>
      <c r="K21" s="191">
        <v>6305</v>
      </c>
      <c r="L21" s="194">
        <f t="shared" si="6"/>
        <v>0.30378222115152975</v>
      </c>
      <c r="M21" s="194">
        <f t="shared" si="7"/>
        <v>0.06758639910813824</v>
      </c>
      <c r="N21" s="191">
        <f t="shared" si="8"/>
        <v>503027</v>
      </c>
      <c r="O21" s="194">
        <f t="shared" si="9"/>
        <v>0.31150693143128205</v>
      </c>
      <c r="P21" s="194">
        <f t="shared" si="10"/>
        <v>0.14976042595176128</v>
      </c>
    </row>
    <row r="22" spans="1:16" ht="15">
      <c r="A22" s="193" t="s">
        <v>264</v>
      </c>
      <c r="B22" s="191">
        <v>173246</v>
      </c>
      <c r="C22" s="194">
        <f t="shared" si="0"/>
        <v>0.35415231456401974</v>
      </c>
      <c r="D22" s="194">
        <f t="shared" si="1"/>
        <v>0.15864684168740037</v>
      </c>
      <c r="E22" s="191">
        <v>430643</v>
      </c>
      <c r="F22" s="194">
        <f t="shared" si="2"/>
        <v>0.4494966891288192</v>
      </c>
      <c r="G22" s="194">
        <f t="shared" si="3"/>
        <v>0.2373977061931682</v>
      </c>
      <c r="H22" s="191">
        <v>38067</v>
      </c>
      <c r="I22" s="194">
        <f t="shared" si="4"/>
        <v>0.2592731334541145</v>
      </c>
      <c r="J22" s="194">
        <f t="shared" si="5"/>
        <v>0.10587342025631898</v>
      </c>
      <c r="K22" s="191">
        <v>11115</v>
      </c>
      <c r="L22" s="194">
        <f t="shared" si="6"/>
        <v>0.5355336063599133</v>
      </c>
      <c r="M22" s="194">
        <f t="shared" si="7"/>
        <v>0.11914715719063546</v>
      </c>
      <c r="N22" s="191">
        <f t="shared" si="8"/>
        <v>653071</v>
      </c>
      <c r="O22" s="194">
        <f t="shared" si="9"/>
        <v>0.4044239041179873</v>
      </c>
      <c r="P22" s="194">
        <f t="shared" si="10"/>
        <v>0.1944312952122703</v>
      </c>
    </row>
    <row r="23" spans="1:17" ht="15">
      <c r="A23" s="193" t="s">
        <v>259</v>
      </c>
      <c r="B23" s="191">
        <v>882</v>
      </c>
      <c r="C23" s="194">
        <f t="shared" si="0"/>
        <v>0.0018029988654598976</v>
      </c>
      <c r="D23" s="194">
        <f t="shared" si="1"/>
        <v>0.0008076752962162885</v>
      </c>
      <c r="E23" s="191">
        <v>2809</v>
      </c>
      <c r="F23" s="194">
        <f t="shared" si="2"/>
        <v>0.002931978923987742</v>
      </c>
      <c r="G23" s="194">
        <f t="shared" si="3"/>
        <v>0.0015484987720608705</v>
      </c>
      <c r="H23" s="191">
        <v>935</v>
      </c>
      <c r="I23" s="194">
        <f t="shared" si="4"/>
        <v>0.0063682554385582546</v>
      </c>
      <c r="J23" s="194">
        <f t="shared" si="5"/>
        <v>0.0026004583481666075</v>
      </c>
      <c r="K23" s="191">
        <v>15</v>
      </c>
      <c r="L23" s="194">
        <f t="shared" si="6"/>
        <v>0.0007227174174897615</v>
      </c>
      <c r="M23" s="194">
        <f t="shared" si="7"/>
        <v>0.00016079238487265243</v>
      </c>
      <c r="N23" s="191">
        <f t="shared" si="8"/>
        <v>4641</v>
      </c>
      <c r="O23" s="194">
        <f t="shared" si="9"/>
        <v>0.002874008092552845</v>
      </c>
      <c r="P23" s="194">
        <f t="shared" si="10"/>
        <v>0.0013817113929115615</v>
      </c>
      <c r="Q23" s="196">
        <f>SUM(P17:P23)</f>
        <v>0.48076113511714336</v>
      </c>
    </row>
    <row r="24" spans="1:16" ht="15">
      <c r="A24" s="191" t="s">
        <v>265</v>
      </c>
      <c r="B24" s="191"/>
      <c r="C24" s="191"/>
      <c r="D24" s="194"/>
      <c r="E24" s="191"/>
      <c r="F24" s="191"/>
      <c r="G24" s="194"/>
      <c r="H24" s="191"/>
      <c r="I24" s="191"/>
      <c r="J24" s="194"/>
      <c r="K24" s="191"/>
      <c r="L24" s="191"/>
      <c r="M24" s="191"/>
      <c r="N24" s="191"/>
      <c r="O24" s="191"/>
      <c r="P24" s="191"/>
    </row>
    <row r="25" spans="1:16" ht="15">
      <c r="A25" s="193" t="s">
        <v>266</v>
      </c>
      <c r="B25" s="191">
        <v>162673</v>
      </c>
      <c r="C25" s="194">
        <f>B25/B$35</f>
        <v>0.7469499455880395</v>
      </c>
      <c r="D25" s="194">
        <f>B25/B$36</f>
        <v>0.1489648111807169</v>
      </c>
      <c r="E25" s="191">
        <v>169225</v>
      </c>
      <c r="F25" s="194">
        <f>E25/E$35</f>
        <v>0.6748619170106279</v>
      </c>
      <c r="G25" s="194">
        <f>E25/E$36</f>
        <v>0.0932875417237454</v>
      </c>
      <c r="H25" s="191">
        <v>50705</v>
      </c>
      <c r="I25" s="194">
        <f>H25/H$35</f>
        <v>0.7367128701362857</v>
      </c>
      <c r="J25" s="194">
        <f>H25/H$36</f>
        <v>0.14102271715913137</v>
      </c>
      <c r="K25" s="191">
        <v>26793</v>
      </c>
      <c r="L25" s="194">
        <f>K25/K$35</f>
        <v>0.7849358410968535</v>
      </c>
      <c r="M25" s="194">
        <f>K25/K$36</f>
        <v>0.2872073578595318</v>
      </c>
      <c r="N25" s="191">
        <f>B25+E25+H25+K25</f>
        <v>409396</v>
      </c>
      <c r="O25" s="194">
        <f>N25/N$35</f>
        <v>0.7163559627505258</v>
      </c>
      <c r="P25" s="194">
        <f>N25/N$36</f>
        <v>0.1218847484189661</v>
      </c>
    </row>
    <row r="26" spans="1:16" ht="15">
      <c r="A26" s="193" t="s">
        <v>267</v>
      </c>
      <c r="B26" s="191">
        <v>9029</v>
      </c>
      <c r="C26" s="194">
        <f>B26/B$35</f>
        <v>0.041458699714853775</v>
      </c>
      <c r="D26" s="194">
        <f>B26/B$36</f>
        <v>0.008268140872490781</v>
      </c>
      <c r="E26" s="191">
        <v>25182</v>
      </c>
      <c r="F26" s="194">
        <f>E26/E$35</f>
        <v>0.10042471735359215</v>
      </c>
      <c r="G26" s="194">
        <f>E26/E$36</f>
        <v>0.01388191387612561</v>
      </c>
      <c r="H26" s="191">
        <v>5511</v>
      </c>
      <c r="I26" s="194">
        <f>H26/H$35</f>
        <v>0.08007148461337285</v>
      </c>
      <c r="J26" s="194">
        <f>H26/H$36</f>
        <v>0.015327407440370238</v>
      </c>
      <c r="K26" s="191">
        <v>1904</v>
      </c>
      <c r="L26" s="194">
        <f>K26/K$35</f>
        <v>0.05578016054373938</v>
      </c>
      <c r="M26" s="194">
        <f>K26/K$36</f>
        <v>0.020409913386502016</v>
      </c>
      <c r="N26" s="191">
        <f>B26+E26+H26+K26</f>
        <v>41626</v>
      </c>
      <c r="O26" s="194">
        <f>N26/N$35</f>
        <v>0.07283665034698285</v>
      </c>
      <c r="P26" s="194">
        <f>N26/N$36</f>
        <v>0.01239282879580622</v>
      </c>
    </row>
    <row r="27" spans="1:16" ht="15">
      <c r="A27" s="193" t="s">
        <v>258</v>
      </c>
      <c r="B27" s="191">
        <v>5267</v>
      </c>
      <c r="C27" s="194">
        <f>B27/B$35</f>
        <v>0.02418462414421695</v>
      </c>
      <c r="D27" s="194">
        <f>B27/B$36</f>
        <v>0.004823158486588652</v>
      </c>
      <c r="E27" s="191">
        <v>8388</v>
      </c>
      <c r="F27" s="194">
        <f>E27/E$35</f>
        <v>0.03345097804630017</v>
      </c>
      <c r="G27" s="194">
        <f>E27/E$36</f>
        <v>0.004623997045228402</v>
      </c>
      <c r="H27" s="191">
        <v>2859</v>
      </c>
      <c r="I27" s="194">
        <f>H27/H$35</f>
        <v>0.0415395344782495</v>
      </c>
      <c r="J27" s="194">
        <f>H27/H$36</f>
        <v>0.007951561943752225</v>
      </c>
      <c r="K27" s="191">
        <v>1911</v>
      </c>
      <c r="L27" s="194">
        <f>K27/K$35</f>
        <v>0.05598523466338548</v>
      </c>
      <c r="M27" s="194">
        <f>K27/K$36</f>
        <v>0.02048494983277592</v>
      </c>
      <c r="N27" s="191">
        <f>B27+E27+H27+K27</f>
        <v>18425</v>
      </c>
      <c r="O27" s="194">
        <f>N27/N$35</f>
        <v>0.032239832860307474</v>
      </c>
      <c r="P27" s="194">
        <f>N27/N$36</f>
        <v>0.005485462705105693</v>
      </c>
    </row>
    <row r="28" spans="1:16" ht="15">
      <c r="A28" s="193" t="s">
        <v>268</v>
      </c>
      <c r="B28" s="191">
        <v>34759</v>
      </c>
      <c r="C28" s="194">
        <f>B28/B$35</f>
        <v>0.15960382582662558</v>
      </c>
      <c r="D28" s="194">
        <f>B28/B$36</f>
        <v>0.03182991567027434</v>
      </c>
      <c r="E28" s="191">
        <v>41623</v>
      </c>
      <c r="F28" s="194">
        <f>E28/E$35</f>
        <v>0.1659907080616538</v>
      </c>
      <c r="G28" s="194">
        <f>E28/E$36</f>
        <v>0.022945234741719334</v>
      </c>
      <c r="H28" s="191">
        <v>7104</v>
      </c>
      <c r="I28" s="194">
        <f>H28/H$35</f>
        <v>0.1032168076017784</v>
      </c>
      <c r="J28" s="194">
        <f>H28/H$36</f>
        <v>0.019757920968316127</v>
      </c>
      <c r="K28" s="191">
        <v>3054</v>
      </c>
      <c r="L28" s="194">
        <f>K28/K$35</f>
        <v>0.08947090877131306</v>
      </c>
      <c r="M28" s="194">
        <f>K28/K$36</f>
        <v>0.03273732956007203</v>
      </c>
      <c r="N28" s="191">
        <f>B28+E28+H28+K28</f>
        <v>86540</v>
      </c>
      <c r="O28" s="194">
        <f>N28/N$35</f>
        <v>0.15142660166789734</v>
      </c>
      <c r="P28" s="194">
        <f>N28/N$36</f>
        <v>0.025764555902298328</v>
      </c>
    </row>
    <row r="29" spans="1:16" ht="15">
      <c r="A29" s="193" t="s">
        <v>269</v>
      </c>
      <c r="B29" s="191">
        <v>6055</v>
      </c>
      <c r="C29" s="194">
        <f>B29/B$35</f>
        <v>0.02780290472626422</v>
      </c>
      <c r="D29" s="194">
        <f>B29/B$36</f>
        <v>0.005544755009738806</v>
      </c>
      <c r="E29" s="191">
        <v>6337</v>
      </c>
      <c r="F29" s="194">
        <f>E29/E$35</f>
        <v>0.025271679527825965</v>
      </c>
      <c r="G29" s="194">
        <f>E29/E$36</f>
        <v>0.0034933558983801126</v>
      </c>
      <c r="H29" s="191">
        <v>2647</v>
      </c>
      <c r="I29" s="194">
        <f>H29/H$35</f>
        <v>0.03845930317031354</v>
      </c>
      <c r="J29" s="194">
        <f>H29/H$36</f>
        <v>0.007361939302242791</v>
      </c>
      <c r="K29" s="191">
        <v>472</v>
      </c>
      <c r="L29" s="194">
        <f>K29/K$35</f>
        <v>0.013827854924708501</v>
      </c>
      <c r="M29" s="194">
        <f>K29/K$36</f>
        <v>0.00505960037732613</v>
      </c>
      <c r="N29" s="191">
        <f>B29+E29+H29+K29</f>
        <v>15511</v>
      </c>
      <c r="O29" s="194">
        <f>N29/N$35</f>
        <v>0.027140952374286525</v>
      </c>
      <c r="P29" s="194">
        <f>N29/N$36</f>
        <v>0.00461791110007568</v>
      </c>
    </row>
    <row r="30" spans="1:16" ht="15">
      <c r="A30" s="191"/>
      <c r="B30" s="191"/>
      <c r="C30" s="191"/>
      <c r="D30" s="194"/>
      <c r="E30" s="191"/>
      <c r="F30" s="191"/>
      <c r="G30" s="194"/>
      <c r="H30" s="191"/>
      <c r="I30" s="191"/>
      <c r="J30" s="194"/>
      <c r="K30" s="191"/>
      <c r="L30" s="191"/>
      <c r="M30" s="191"/>
      <c r="N30" s="191"/>
      <c r="O30" s="191"/>
      <c r="P30" s="191"/>
    </row>
    <row r="31" spans="1:27" ht="15">
      <c r="A31" s="197" t="s">
        <v>270</v>
      </c>
      <c r="B31" s="191"/>
      <c r="C31" s="191"/>
      <c r="D31" s="194"/>
      <c r="E31" s="191"/>
      <c r="F31" s="191"/>
      <c r="G31" s="194"/>
      <c r="H31" s="191"/>
      <c r="I31" s="191"/>
      <c r="J31" s="194"/>
      <c r="K31" s="191"/>
      <c r="L31" s="191"/>
      <c r="M31" s="191"/>
      <c r="N31" s="191"/>
      <c r="O31" s="191"/>
      <c r="P31" s="191"/>
      <c r="Q31" s="198"/>
      <c r="R31" s="198" t="s">
        <v>221</v>
      </c>
      <c r="S31" s="198" t="s">
        <v>271</v>
      </c>
      <c r="T31" s="198" t="s">
        <v>272</v>
      </c>
      <c r="U31" s="198" t="s">
        <v>271</v>
      </c>
      <c r="V31" s="198" t="s">
        <v>259</v>
      </c>
      <c r="W31" s="198"/>
      <c r="X31" s="198" t="s">
        <v>221</v>
      </c>
      <c r="Y31" s="198" t="s">
        <v>272</v>
      </c>
      <c r="Z31" s="198" t="s">
        <v>273</v>
      </c>
      <c r="AA31" s="198" t="s">
        <v>259</v>
      </c>
    </row>
    <row r="32" spans="1:27" ht="15">
      <c r="A32" s="191" t="s">
        <v>274</v>
      </c>
      <c r="B32" s="191">
        <f>SUM(B5:B9)</f>
        <v>288917</v>
      </c>
      <c r="C32" s="194">
        <f>B32/B$36</f>
        <v>0.264570434871793</v>
      </c>
      <c r="D32" s="194">
        <f>B32/B$36</f>
        <v>0.264570434871793</v>
      </c>
      <c r="E32" s="191">
        <f>SUM(E5:E9)</f>
        <v>425558</v>
      </c>
      <c r="F32" s="194">
        <f>E32/E$36</f>
        <v>0.234594532018754</v>
      </c>
      <c r="G32" s="194">
        <f>E32/E$36</f>
        <v>0.234594532018754</v>
      </c>
      <c r="H32" s="191">
        <f>SUM(H5:H9)</f>
        <v>105070</v>
      </c>
      <c r="I32" s="194">
        <f>H32/H$36</f>
        <v>0.2922247686009256</v>
      </c>
      <c r="J32" s="194">
        <f>H32/H$36</f>
        <v>0.2922247686009256</v>
      </c>
      <c r="K32" s="191">
        <f>SUM(K5:K9)</f>
        <v>31669</v>
      </c>
      <c r="L32" s="194">
        <f>K32/K$36</f>
        <v>0.33947560243546865</v>
      </c>
      <c r="M32" s="194">
        <f>K32/K$36</f>
        <v>0.33947560243546865</v>
      </c>
      <c r="N32" s="191">
        <f>B32+E32+H32+K32</f>
        <v>851214</v>
      </c>
      <c r="O32" s="194">
        <f>N32/N$36</f>
        <v>0.25342212488813226</v>
      </c>
      <c r="P32" s="194">
        <f>N32/N$36</f>
        <v>0.25342212488813226</v>
      </c>
      <c r="Q32" s="198" t="s">
        <v>274</v>
      </c>
      <c r="R32" s="199">
        <f>P8</f>
        <v>0.2167003386249813</v>
      </c>
      <c r="S32" s="200">
        <f>N8</f>
        <v>727870</v>
      </c>
      <c r="T32" s="199">
        <v>0</v>
      </c>
      <c r="U32" s="198">
        <f>T32*N32</f>
        <v>0</v>
      </c>
      <c r="V32" s="201">
        <f>P32-R32-T32</f>
        <v>0.03672178626315095</v>
      </c>
      <c r="W32" s="198" t="s">
        <v>274</v>
      </c>
      <c r="X32" s="202">
        <f>$N$36*R32</f>
        <v>727870</v>
      </c>
      <c r="Y32" s="202">
        <f>$N$36*T32</f>
        <v>0</v>
      </c>
      <c r="Z32" s="202">
        <f>SUM(X32:Y32)</f>
        <v>727870</v>
      </c>
      <c r="AA32" s="202">
        <f>$N$36*V32</f>
        <v>123343.99999999994</v>
      </c>
    </row>
    <row r="33" spans="1:27" ht="15">
      <c r="A33" s="191" t="s">
        <v>260</v>
      </c>
      <c r="B33" s="191">
        <f>SUM(B11:B15)</f>
        <v>96138</v>
      </c>
      <c r="C33" s="194">
        <f>B33/B$36</f>
        <v>0.08803660728757544</v>
      </c>
      <c r="D33" s="194">
        <f>B33/B$36</f>
        <v>0.08803660728757544</v>
      </c>
      <c r="E33" s="191">
        <f>SUM(E11:E15)</f>
        <v>179646</v>
      </c>
      <c r="F33" s="194">
        <f>E33/E$36</f>
        <v>0.09903225717538168</v>
      </c>
      <c r="G33" s="194">
        <f>E33/E$36</f>
        <v>0.09903225717538168</v>
      </c>
      <c r="H33" s="191">
        <f>SUM(H11:H15)</f>
        <v>38834</v>
      </c>
      <c r="I33" s="194">
        <f>H33/H$36</f>
        <v>0.10800663047347811</v>
      </c>
      <c r="J33" s="194">
        <f>H33/H$36</f>
        <v>0.10800663047347811</v>
      </c>
      <c r="K33" s="191">
        <f>SUM(K11:K15)</f>
        <v>6730</v>
      </c>
      <c r="L33" s="194">
        <f>K33/K$36</f>
        <v>0.07214218334619672</v>
      </c>
      <c r="M33" s="194">
        <f>K33/K$36</f>
        <v>0.07214218334619672</v>
      </c>
      <c r="N33" s="191">
        <f>B33+E33+H33+K33</f>
        <v>321348</v>
      </c>
      <c r="O33" s="194">
        <f>N33/N$36</f>
        <v>0.09567123307247241</v>
      </c>
      <c r="P33" s="194">
        <f>N33/N$36</f>
        <v>0.09567123307247241</v>
      </c>
      <c r="Q33" s="198" t="s">
        <v>260</v>
      </c>
      <c r="R33" s="199">
        <f>P14</f>
        <v>0.08376100590732977</v>
      </c>
      <c r="S33" s="200">
        <f>N14</f>
        <v>281343</v>
      </c>
      <c r="T33" s="199">
        <v>0</v>
      </c>
      <c r="U33" s="198">
        <f>T33*N33</f>
        <v>0</v>
      </c>
      <c r="V33" s="201">
        <f>P33-R33-T33</f>
        <v>0.011910227165142645</v>
      </c>
      <c r="W33" s="198" t="s">
        <v>260</v>
      </c>
      <c r="X33" s="202">
        <f>$N$36*R33</f>
        <v>281343</v>
      </c>
      <c r="Y33" s="202">
        <f>$N$36*T33</f>
        <v>0</v>
      </c>
      <c r="Z33" s="202">
        <f>SUM(X33:Y33)</f>
        <v>281343</v>
      </c>
      <c r="AA33" s="202">
        <f>$N$36*V33</f>
        <v>40005</v>
      </c>
    </row>
    <row r="34" spans="1:27" ht="15">
      <c r="A34" s="191" t="s">
        <v>261</v>
      </c>
      <c r="B34" s="191">
        <f>SUM(B17:B23)</f>
        <v>489185</v>
      </c>
      <c r="C34" s="194">
        <f>B34/B$36</f>
        <v>0.4479621766208221</v>
      </c>
      <c r="D34" s="194">
        <f>B34/B$36</f>
        <v>0.4479621766208221</v>
      </c>
      <c r="E34" s="191">
        <f>SUM(E17:E23)</f>
        <v>958056</v>
      </c>
      <c r="F34" s="194">
        <f>E34/E$36</f>
        <v>0.5281411675206655</v>
      </c>
      <c r="G34" s="194">
        <f>E34/E$36</f>
        <v>0.5281411675206655</v>
      </c>
      <c r="H34" s="191">
        <f>SUM(H17:H23)</f>
        <v>146822</v>
      </c>
      <c r="I34" s="194">
        <f>H34/H$36</f>
        <v>0.40834705411178357</v>
      </c>
      <c r="J34" s="194">
        <f>H34/H$36</f>
        <v>0.40834705411178357</v>
      </c>
      <c r="K34" s="191">
        <f>SUM(K17:K23)</f>
        <v>20755</v>
      </c>
      <c r="L34" s="194">
        <f>K34/K$36</f>
        <v>0.22248306320212674</v>
      </c>
      <c r="M34" s="194">
        <f>K34/K$36</f>
        <v>0.22248306320212674</v>
      </c>
      <c r="N34" s="191">
        <f>B34+E34+H34+K34</f>
        <v>1614818</v>
      </c>
      <c r="O34" s="194">
        <f>N34/N$36</f>
        <v>0.4807611351171433</v>
      </c>
      <c r="P34" s="194">
        <f>N34/N$36</f>
        <v>0.4807611351171433</v>
      </c>
      <c r="Q34" s="198" t="s">
        <v>261</v>
      </c>
      <c r="R34" s="199">
        <f>P21+P17</f>
        <v>0.20379781581825837</v>
      </c>
      <c r="S34" s="200">
        <f>N17+N21</f>
        <v>684532</v>
      </c>
      <c r="T34" s="199">
        <f>P17</f>
        <v>0.05403738986649709</v>
      </c>
      <c r="U34" s="200">
        <f>N17</f>
        <v>181505</v>
      </c>
      <c r="V34" s="201">
        <f>P34-R34-T34</f>
        <v>0.22292592943238787</v>
      </c>
      <c r="W34" s="198" t="s">
        <v>261</v>
      </c>
      <c r="X34" s="202">
        <f>$N$36*R34</f>
        <v>684532</v>
      </c>
      <c r="Y34" s="202">
        <f>$N$36*T34</f>
        <v>181505</v>
      </c>
      <c r="Z34" s="202">
        <f>SUM(X34:Y34)</f>
        <v>866037</v>
      </c>
      <c r="AA34" s="202">
        <f>$N$36*V34</f>
        <v>748781.0000000001</v>
      </c>
    </row>
    <row r="35" spans="1:27" ht="15">
      <c r="A35" s="191" t="s">
        <v>265</v>
      </c>
      <c r="B35" s="191">
        <f>SUM(B25:B29)</f>
        <v>217783</v>
      </c>
      <c r="C35" s="194">
        <f>B35/B$36</f>
        <v>0.19943078121980948</v>
      </c>
      <c r="D35" s="194">
        <f>B35/B$36</f>
        <v>0.19943078121980948</v>
      </c>
      <c r="E35" s="191">
        <f>SUM(E25:E29)</f>
        <v>250755</v>
      </c>
      <c r="F35" s="194">
        <f>E35/E$36</f>
        <v>0.13823204328519886</v>
      </c>
      <c r="G35" s="194">
        <f>E35/E$36</f>
        <v>0.13823204328519886</v>
      </c>
      <c r="H35" s="191">
        <f>SUM(H25:H29)</f>
        <v>68826</v>
      </c>
      <c r="I35" s="194">
        <f>H35/H$36</f>
        <v>0.19142154681381274</v>
      </c>
      <c r="J35" s="194">
        <f>H35/H$36</f>
        <v>0.19142154681381274</v>
      </c>
      <c r="K35" s="191">
        <f>SUM(K25:K29)</f>
        <v>34134</v>
      </c>
      <c r="L35" s="194">
        <f>K35/K$36</f>
        <v>0.36589915101620785</v>
      </c>
      <c r="M35" s="194">
        <f>K35/K$36</f>
        <v>0.36589915101620785</v>
      </c>
      <c r="N35" s="191">
        <f>B35+E35+H35+K35</f>
        <v>571498</v>
      </c>
      <c r="O35" s="194">
        <f>N35/N$36</f>
        <v>0.17014550692225203</v>
      </c>
      <c r="P35" s="194">
        <f>N35/N$36</f>
        <v>0.17014550692225203</v>
      </c>
      <c r="Q35" s="198" t="s">
        <v>265</v>
      </c>
      <c r="R35" s="199">
        <f>P27</f>
        <v>0.005485462705105693</v>
      </c>
      <c r="S35" s="200">
        <f>N27</f>
        <v>18425</v>
      </c>
      <c r="T35" s="199">
        <v>0</v>
      </c>
      <c r="U35" s="200">
        <f>T35*N35</f>
        <v>0</v>
      </c>
      <c r="V35" s="201">
        <f>P35-R35</f>
        <v>0.16466004421714633</v>
      </c>
      <c r="W35" s="198" t="s">
        <v>265</v>
      </c>
      <c r="X35" s="202">
        <f>$N$36*R35</f>
        <v>18425</v>
      </c>
      <c r="Y35" s="202">
        <f>$N$36*T35</f>
        <v>0</v>
      </c>
      <c r="Z35" s="202">
        <f>SUM(X35:Y35)</f>
        <v>18425</v>
      </c>
      <c r="AA35" s="202">
        <f>$N$36*V35</f>
        <v>553073</v>
      </c>
    </row>
    <row r="36" spans="1:27" ht="15">
      <c r="A36" s="191" t="s">
        <v>57</v>
      </c>
      <c r="B36" s="191">
        <f>SUM(B32:B35)</f>
        <v>1092023</v>
      </c>
      <c r="C36" s="194">
        <f>B36/B$36</f>
        <v>1</v>
      </c>
      <c r="D36" s="194">
        <f>B36/B$36</f>
        <v>1</v>
      </c>
      <c r="E36" s="191">
        <f>SUM(E32:E35)</f>
        <v>1814015</v>
      </c>
      <c r="F36" s="194">
        <f>E36/E$36</f>
        <v>1</v>
      </c>
      <c r="G36" s="194">
        <f>E36/E$36</f>
        <v>1</v>
      </c>
      <c r="H36" s="191">
        <f>SUM(H32:H35)</f>
        <v>359552</v>
      </c>
      <c r="I36" s="194">
        <f>H36/H$36</f>
        <v>1</v>
      </c>
      <c r="J36" s="194">
        <f>H36/H$36</f>
        <v>1</v>
      </c>
      <c r="K36" s="191">
        <f>SUM(K32:K35)</f>
        <v>93288</v>
      </c>
      <c r="L36" s="194">
        <f>K36/K$36</f>
        <v>1</v>
      </c>
      <c r="M36" s="194">
        <f>K36/K$36</f>
        <v>1</v>
      </c>
      <c r="N36" s="191">
        <f>B36+E36+H36+K36</f>
        <v>3358878</v>
      </c>
      <c r="O36" s="194">
        <f>N36/N$36</f>
        <v>1</v>
      </c>
      <c r="P36" s="194">
        <f>N36/N$36</f>
        <v>1</v>
      </c>
      <c r="Q36" s="198" t="s">
        <v>57</v>
      </c>
      <c r="R36" s="199">
        <f>SUM(R32:R35)</f>
        <v>0.5097446230556753</v>
      </c>
      <c r="S36" s="200">
        <f>SUM(S32:S35)</f>
        <v>1712170</v>
      </c>
      <c r="T36" s="199">
        <f>SUM(T32:T35)</f>
        <v>0.05403738986649709</v>
      </c>
      <c r="U36" s="200">
        <f>T36*N36</f>
        <v>181505</v>
      </c>
      <c r="V36" s="199">
        <f>P36-R36</f>
        <v>0.49025537694432475</v>
      </c>
      <c r="W36" s="198" t="s">
        <v>57</v>
      </c>
      <c r="X36" s="202">
        <f>$N$36*R36</f>
        <v>1712170.0000000005</v>
      </c>
      <c r="Y36" s="202">
        <f>$N$36*T36</f>
        <v>181505</v>
      </c>
      <c r="Z36" s="202">
        <f>SUM(X36:Y36)</f>
        <v>1893675.0000000005</v>
      </c>
      <c r="AA36" s="202">
        <f>$N$36*V36</f>
        <v>1646707.9999999995</v>
      </c>
    </row>
    <row r="37" ht="15"/>
    <row r="38" ht="15">
      <c r="N38" s="189">
        <f>N36-N35</f>
        <v>2787380</v>
      </c>
    </row>
    <row r="39" ht="15">
      <c r="A39" s="189" t="s">
        <v>275</v>
      </c>
    </row>
    <row r="40" spans="1:9" ht="15">
      <c r="A40" s="191" t="s">
        <v>276</v>
      </c>
      <c r="B40" s="191"/>
      <c r="C40" s="191"/>
      <c r="D40" s="191" t="s">
        <v>277</v>
      </c>
      <c r="E40" s="191"/>
      <c r="F40" s="191" t="s">
        <v>278</v>
      </c>
      <c r="G40" s="191"/>
      <c r="H40" s="203" t="s">
        <v>279</v>
      </c>
      <c r="I40" s="191"/>
    </row>
    <row r="41" spans="1:9" ht="15">
      <c r="A41" s="193" t="s">
        <v>280</v>
      </c>
      <c r="B41" s="191">
        <v>55558</v>
      </c>
      <c r="C41" s="194">
        <f aca="true" t="shared" si="11" ref="C41:C46">B41/B$46</f>
        <v>0.04514990780342992</v>
      </c>
      <c r="D41" s="191">
        <v>1246</v>
      </c>
      <c r="E41" s="194">
        <f aca="true" t="shared" si="12" ref="E41:E46">D41/D$46</f>
        <v>0.02326406392949831</v>
      </c>
      <c r="F41" s="191">
        <v>51296</v>
      </c>
      <c r="G41" s="194">
        <f aca="true" t="shared" si="13" ref="G41:G46">F41/F$46</f>
        <v>0.04598385329917294</v>
      </c>
      <c r="H41" s="191">
        <f aca="true" t="shared" si="14" ref="H41:H46">B41-D41-F41</f>
        <v>3016</v>
      </c>
      <c r="I41" s="194">
        <f aca="true" t="shared" si="15" ref="I41:I46">H41/H$46</f>
        <v>0.04908694378438202</v>
      </c>
    </row>
    <row r="42" spans="1:9" ht="15">
      <c r="A42" s="195" t="s">
        <v>281</v>
      </c>
      <c r="B42" s="191">
        <v>93611</v>
      </c>
      <c r="C42" s="194">
        <f t="shared" si="11"/>
        <v>0.07607415708605203</v>
      </c>
      <c r="D42" s="191">
        <v>4898</v>
      </c>
      <c r="E42" s="194">
        <f t="shared" si="12"/>
        <v>0.09145054986090106</v>
      </c>
      <c r="F42" s="191">
        <v>71558</v>
      </c>
      <c r="G42" s="194">
        <f t="shared" si="13"/>
        <v>0.06414754706765084</v>
      </c>
      <c r="H42" s="191">
        <f t="shared" si="14"/>
        <v>17155</v>
      </c>
      <c r="I42" s="194">
        <f t="shared" si="15"/>
        <v>0.27920640604147</v>
      </c>
    </row>
    <row r="43" spans="1:9" ht="15">
      <c r="A43" s="193" t="s">
        <v>257</v>
      </c>
      <c r="B43" s="191">
        <v>5876</v>
      </c>
      <c r="C43" s="194">
        <f t="shared" si="11"/>
        <v>0.0047752053395182376</v>
      </c>
      <c r="D43" s="191">
        <v>816</v>
      </c>
      <c r="E43" s="194">
        <f t="shared" si="12"/>
        <v>0.015235534644037417</v>
      </c>
      <c r="F43" s="191">
        <v>4673</v>
      </c>
      <c r="G43" s="194">
        <f t="shared" si="13"/>
        <v>0.004189070229004896</v>
      </c>
      <c r="H43" s="191">
        <f t="shared" si="14"/>
        <v>387</v>
      </c>
      <c r="I43" s="194">
        <f t="shared" si="15"/>
        <v>0.006298623091696234</v>
      </c>
    </row>
    <row r="44" spans="1:9" ht="15">
      <c r="A44" s="193" t="s">
        <v>282</v>
      </c>
      <c r="B44" s="191">
        <v>1054267</v>
      </c>
      <c r="C44" s="194">
        <f t="shared" si="11"/>
        <v>0.8567633437164522</v>
      </c>
      <c r="D44" s="191">
        <v>45856</v>
      </c>
      <c r="E44" s="194">
        <f t="shared" si="12"/>
        <v>0.8561772998002203</v>
      </c>
      <c r="F44" s="191">
        <v>969891</v>
      </c>
      <c r="G44" s="194">
        <f t="shared" si="13"/>
        <v>0.8694503559768432</v>
      </c>
      <c r="H44" s="191">
        <f t="shared" si="14"/>
        <v>38520</v>
      </c>
      <c r="I44" s="194">
        <f t="shared" si="15"/>
        <v>0.6269327170339507</v>
      </c>
    </row>
    <row r="45" spans="1:9" ht="15">
      <c r="A45" s="193" t="s">
        <v>259</v>
      </c>
      <c r="B45" s="191">
        <v>21211</v>
      </c>
      <c r="C45" s="194">
        <f t="shared" si="11"/>
        <v>0.017237386054547537</v>
      </c>
      <c r="D45" s="191">
        <v>743</v>
      </c>
      <c r="E45" s="194">
        <f t="shared" si="12"/>
        <v>0.013872551765342894</v>
      </c>
      <c r="F45" s="191">
        <v>18104</v>
      </c>
      <c r="G45" s="194">
        <f t="shared" si="13"/>
        <v>0.016229173427328193</v>
      </c>
      <c r="H45" s="191">
        <f t="shared" si="14"/>
        <v>2364</v>
      </c>
      <c r="I45" s="194">
        <f t="shared" si="15"/>
        <v>0.03847531004850103</v>
      </c>
    </row>
    <row r="46" spans="1:9" ht="15">
      <c r="A46" s="204" t="s">
        <v>283</v>
      </c>
      <c r="B46" s="191">
        <f>SUM(B41:B45)</f>
        <v>1230523</v>
      </c>
      <c r="C46" s="194">
        <f t="shared" si="11"/>
        <v>1</v>
      </c>
      <c r="D46" s="191">
        <f>SUM(D41:D45)</f>
        <v>53559</v>
      </c>
      <c r="E46" s="194">
        <f t="shared" si="12"/>
        <v>1</v>
      </c>
      <c r="F46" s="191">
        <f>SUM(F41:F45)</f>
        <v>1115522</v>
      </c>
      <c r="G46" s="194">
        <f t="shared" si="13"/>
        <v>1</v>
      </c>
      <c r="H46" s="191">
        <f t="shared" si="14"/>
        <v>61442</v>
      </c>
      <c r="I46" s="194">
        <f t="shared" si="15"/>
        <v>1</v>
      </c>
    </row>
    <row r="47" spans="1:9" ht="15">
      <c r="A47" s="191" t="s">
        <v>261</v>
      </c>
      <c r="B47" s="191"/>
      <c r="C47" s="191"/>
      <c r="D47" s="191"/>
      <c r="E47" s="191"/>
      <c r="F47" s="191"/>
      <c r="G47" s="191"/>
      <c r="H47" s="191"/>
      <c r="I47" s="191"/>
    </row>
    <row r="48" spans="1:9" ht="15">
      <c r="A48" s="193" t="s">
        <v>223</v>
      </c>
      <c r="B48" s="191">
        <v>181506</v>
      </c>
      <c r="C48" s="194">
        <f aca="true" t="shared" si="16" ref="C48:C55">B48/B$55</f>
        <v>0.11238629390737818</v>
      </c>
      <c r="D48" s="191">
        <v>24871</v>
      </c>
      <c r="E48" s="194">
        <f aca="true" t="shared" si="17" ref="E48:E55">D48/D$55</f>
        <v>0.08951425980046357</v>
      </c>
      <c r="F48" s="191">
        <v>149980</v>
      </c>
      <c r="G48" s="194">
        <f aca="true" t="shared" si="18" ref="G48:G55">F48/F$55</f>
        <v>0.15691485187878282</v>
      </c>
      <c r="H48" s="191">
        <f aca="true" t="shared" si="19" ref="H48:H55">B48-D48-F48</f>
        <v>6655</v>
      </c>
      <c r="I48" s="194">
        <f aca="true" t="shared" si="20" ref="I48:I55">H48/H$55</f>
        <v>0.017450245168733777</v>
      </c>
    </row>
    <row r="49" spans="1:9" ht="15">
      <c r="A49" s="193" t="s">
        <v>262</v>
      </c>
      <c r="B49" s="191">
        <v>29273</v>
      </c>
      <c r="C49" s="194">
        <f t="shared" si="16"/>
        <v>0.018125483353446617</v>
      </c>
      <c r="D49" s="191">
        <v>3784</v>
      </c>
      <c r="E49" s="194">
        <f t="shared" si="17"/>
        <v>0.01361915319387858</v>
      </c>
      <c r="F49" s="191">
        <v>15098</v>
      </c>
      <c r="G49" s="194">
        <f t="shared" si="18"/>
        <v>0.015796109038977615</v>
      </c>
      <c r="H49" s="191">
        <f t="shared" si="19"/>
        <v>10391</v>
      </c>
      <c r="I49" s="194">
        <f t="shared" si="20"/>
        <v>0.027246506017778012</v>
      </c>
    </row>
    <row r="50" spans="1:9" ht="15">
      <c r="A50" s="193" t="s">
        <v>263</v>
      </c>
      <c r="B50" s="191">
        <v>228568</v>
      </c>
      <c r="C50" s="194">
        <f t="shared" si="16"/>
        <v>0.14152650835686764</v>
      </c>
      <c r="D50" s="191">
        <v>17664</v>
      </c>
      <c r="E50" s="194">
        <f t="shared" si="17"/>
        <v>0.063575243661911</v>
      </c>
      <c r="F50" s="191">
        <v>142727</v>
      </c>
      <c r="G50" s="194">
        <f t="shared" si="18"/>
        <v>0.14932648395854803</v>
      </c>
      <c r="H50" s="191">
        <f t="shared" si="19"/>
        <v>68177</v>
      </c>
      <c r="I50" s="194">
        <f t="shared" si="20"/>
        <v>0.17876864986758267</v>
      </c>
    </row>
    <row r="51" spans="1:9" ht="15">
      <c r="A51" s="193" t="s">
        <v>280</v>
      </c>
      <c r="B51" s="191">
        <v>14732</v>
      </c>
      <c r="C51" s="194">
        <f t="shared" si="16"/>
        <v>0.00912187410798263</v>
      </c>
      <c r="D51" s="191">
        <v>3227</v>
      </c>
      <c r="E51" s="194">
        <f t="shared" si="17"/>
        <v>0.011614431119621082</v>
      </c>
      <c r="F51" s="191">
        <v>9005</v>
      </c>
      <c r="G51" s="194">
        <f t="shared" si="18"/>
        <v>0.009421377791495128</v>
      </c>
      <c r="H51" s="191">
        <f t="shared" si="19"/>
        <v>2500</v>
      </c>
      <c r="I51" s="194">
        <f t="shared" si="20"/>
        <v>0.006555313737315468</v>
      </c>
    </row>
    <row r="52" spans="1:9" ht="15">
      <c r="A52" s="193" t="s">
        <v>282</v>
      </c>
      <c r="B52" s="191">
        <v>503028</v>
      </c>
      <c r="C52" s="194">
        <f t="shared" si="16"/>
        <v>0.31146878148182777</v>
      </c>
      <c r="D52" s="191">
        <v>211140</v>
      </c>
      <c r="E52" s="194">
        <f t="shared" si="17"/>
        <v>0.75992283439628</v>
      </c>
      <c r="F52" s="191">
        <v>252658</v>
      </c>
      <c r="G52" s="194">
        <f t="shared" si="18"/>
        <v>0.2643405297105581</v>
      </c>
      <c r="H52" s="191">
        <f t="shared" si="19"/>
        <v>39230</v>
      </c>
      <c r="I52" s="194">
        <f t="shared" si="20"/>
        <v>0.10286598316595433</v>
      </c>
    </row>
    <row r="53" spans="1:9" ht="15">
      <c r="A53" s="193" t="s">
        <v>284</v>
      </c>
      <c r="B53" s="191">
        <v>653271</v>
      </c>
      <c r="C53" s="194">
        <f t="shared" si="16"/>
        <v>0.40449740838962267</v>
      </c>
      <c r="D53" s="191">
        <v>17016</v>
      </c>
      <c r="E53" s="194">
        <f t="shared" si="17"/>
        <v>0.06124299966887894</v>
      </c>
      <c r="F53" s="191">
        <v>382754</v>
      </c>
      <c r="G53" s="194">
        <f t="shared" si="18"/>
        <v>0.4004519750367491</v>
      </c>
      <c r="H53" s="191">
        <f t="shared" si="19"/>
        <v>253501</v>
      </c>
      <c r="I53" s="194">
        <f t="shared" si="20"/>
        <v>0.6647114350892833</v>
      </c>
    </row>
    <row r="54" spans="1:9" ht="15">
      <c r="A54" s="193" t="s">
        <v>259</v>
      </c>
      <c r="B54" s="191">
        <v>4641</v>
      </c>
      <c r="C54" s="194">
        <f t="shared" si="16"/>
        <v>0.0028736504028745173</v>
      </c>
      <c r="D54" s="191">
        <v>142</v>
      </c>
      <c r="E54" s="194">
        <f t="shared" si="17"/>
        <v>0.0005110781589669022</v>
      </c>
      <c r="F54" s="191">
        <v>3583</v>
      </c>
      <c r="G54" s="194">
        <f t="shared" si="18"/>
        <v>0.0037486725848891772</v>
      </c>
      <c r="H54" s="191">
        <f t="shared" si="19"/>
        <v>916</v>
      </c>
      <c r="I54" s="194">
        <f t="shared" si="20"/>
        <v>0.0024018669533523874</v>
      </c>
    </row>
    <row r="55" spans="1:9" ht="15">
      <c r="A55" s="204" t="s">
        <v>285</v>
      </c>
      <c r="B55" s="191">
        <f>SUM(B48:B54)</f>
        <v>1615019</v>
      </c>
      <c r="C55" s="194">
        <f t="shared" si="16"/>
        <v>1</v>
      </c>
      <c r="D55" s="191">
        <f>SUM(D48:D54)</f>
        <v>277844</v>
      </c>
      <c r="E55" s="194">
        <f t="shared" si="17"/>
        <v>1</v>
      </c>
      <c r="F55" s="191">
        <f>SUM(F48:F54)</f>
        <v>955805</v>
      </c>
      <c r="G55" s="194">
        <f t="shared" si="18"/>
        <v>1</v>
      </c>
      <c r="H55" s="191">
        <f t="shared" si="19"/>
        <v>381370</v>
      </c>
      <c r="I55" s="194">
        <f t="shared" si="20"/>
        <v>1</v>
      </c>
    </row>
    <row r="56" spans="1:9" ht="15">
      <c r="A56" s="193"/>
      <c r="B56" s="191"/>
      <c r="C56" s="194"/>
      <c r="D56" s="191"/>
      <c r="E56" s="194"/>
      <c r="F56" s="191"/>
      <c r="G56" s="194"/>
      <c r="H56" s="191"/>
      <c r="I56" s="191"/>
    </row>
    <row r="57" spans="1:9" ht="15">
      <c r="A57" s="204" t="s">
        <v>286</v>
      </c>
      <c r="B57" s="191">
        <f>B46+B55</f>
        <v>2845542</v>
      </c>
      <c r="C57" s="205">
        <f>B57/B$58</f>
        <v>0.8471703943995584</v>
      </c>
      <c r="D57" s="191">
        <f>D46+D55</f>
        <v>331403</v>
      </c>
      <c r="E57" s="205">
        <f>D57/D$58</f>
        <v>0.0986647922312153</v>
      </c>
      <c r="F57" s="191">
        <f>F46+F55</f>
        <v>2071327</v>
      </c>
      <c r="G57" s="205">
        <f>F57/F$58</f>
        <v>0.6166722935456423</v>
      </c>
      <c r="H57" s="191">
        <f>H46+H55</f>
        <v>442812</v>
      </c>
      <c r="I57" s="205">
        <f>H57/H$58</f>
        <v>0.1318333086227008</v>
      </c>
    </row>
    <row r="58" spans="1:9" ht="15">
      <c r="A58" s="204" t="s">
        <v>287</v>
      </c>
      <c r="B58" s="191">
        <f>$N36</f>
        <v>3358878</v>
      </c>
      <c r="C58" s="194">
        <f>B58/$B$58</f>
        <v>1</v>
      </c>
      <c r="D58" s="191">
        <f>$N36</f>
        <v>3358878</v>
      </c>
      <c r="E58" s="194">
        <f>D58/$B$58</f>
        <v>1</v>
      </c>
      <c r="F58" s="191">
        <f>$N36</f>
        <v>3358878</v>
      </c>
      <c r="G58" s="194">
        <f>F58/$B$58</f>
        <v>1</v>
      </c>
      <c r="H58" s="191">
        <f>$N36</f>
        <v>3358878</v>
      </c>
      <c r="I58" s="194">
        <f>H58/$B$58</f>
        <v>1</v>
      </c>
    </row>
    <row r="59" ht="15">
      <c r="B59" s="189">
        <f>B58-B57</f>
        <v>513336</v>
      </c>
    </row>
    <row r="60" ht="15">
      <c r="A60" s="188" t="s">
        <v>288</v>
      </c>
    </row>
    <row r="61" spans="1:7" ht="30">
      <c r="A61" s="206"/>
      <c r="B61" s="207" t="s">
        <v>289</v>
      </c>
      <c r="C61" s="192"/>
      <c r="D61" s="207" t="s">
        <v>290</v>
      </c>
      <c r="E61" s="192"/>
      <c r="F61" s="206" t="s">
        <v>57</v>
      </c>
      <c r="G61" s="191"/>
    </row>
    <row r="62" spans="1:7" ht="15">
      <c r="A62" s="191"/>
      <c r="B62" s="191" t="s">
        <v>252</v>
      </c>
      <c r="C62" s="191" t="s">
        <v>291</v>
      </c>
      <c r="D62" s="191" t="s">
        <v>252</v>
      </c>
      <c r="E62" s="191" t="s">
        <v>291</v>
      </c>
      <c r="F62" s="191" t="s">
        <v>252</v>
      </c>
      <c r="G62" s="191" t="s">
        <v>291</v>
      </c>
    </row>
    <row r="63" spans="1:7" ht="15">
      <c r="A63" s="191" t="s">
        <v>292</v>
      </c>
      <c r="B63" s="191">
        <f>D44</f>
        <v>45856</v>
      </c>
      <c r="C63" s="194">
        <f>B63/B$66</f>
        <v>0.1626866571822881</v>
      </c>
      <c r="D63" s="191">
        <f>F44</f>
        <v>969891</v>
      </c>
      <c r="E63" s="194">
        <f>D63/D$66</f>
        <v>0.7066451783532443</v>
      </c>
      <c r="F63" s="191">
        <f>B63+D63</f>
        <v>1015747</v>
      </c>
      <c r="G63" s="194">
        <f>F63/F$66</f>
        <v>0.6139684815485531</v>
      </c>
    </row>
    <row r="64" spans="1:7" ht="15">
      <c r="A64" s="191" t="s">
        <v>293</v>
      </c>
      <c r="B64" s="191">
        <f>D48</f>
        <v>24871</v>
      </c>
      <c r="C64" s="194">
        <f>B64/B$66</f>
        <v>0.08823665061890892</v>
      </c>
      <c r="D64" s="191">
        <f>F48</f>
        <v>149980</v>
      </c>
      <c r="E64" s="194">
        <f>D64/D$66</f>
        <v>0.10927273667805926</v>
      </c>
      <c r="F64" s="191">
        <f>B64+D64</f>
        <v>174851</v>
      </c>
      <c r="G64" s="194">
        <f>F64/F$66</f>
        <v>0.10568872265165051</v>
      </c>
    </row>
    <row r="65" spans="1:7" ht="15">
      <c r="A65" s="191" t="s">
        <v>294</v>
      </c>
      <c r="B65" s="191">
        <f>D52</f>
        <v>211140</v>
      </c>
      <c r="C65" s="194">
        <f>B65/B$66</f>
        <v>0.749076692198803</v>
      </c>
      <c r="D65" s="191">
        <f>F52</f>
        <v>252658</v>
      </c>
      <c r="E65" s="194">
        <f>D65/D$66</f>
        <v>0.18408208496869646</v>
      </c>
      <c r="F65" s="191">
        <f>B65+D65</f>
        <v>463798</v>
      </c>
      <c r="G65" s="194">
        <f>F65/F$66</f>
        <v>0.28034279579979643</v>
      </c>
    </row>
    <row r="66" spans="1:7" ht="15">
      <c r="A66" s="191" t="s">
        <v>57</v>
      </c>
      <c r="B66" s="191">
        <f>SUM(B63:B65)</f>
        <v>281867</v>
      </c>
      <c r="C66" s="194">
        <f>B66/B$66</f>
        <v>1</v>
      </c>
      <c r="D66" s="191">
        <f>SUM(D63:D65)</f>
        <v>1372529</v>
      </c>
      <c r="E66" s="194">
        <f>D66/D$66</f>
        <v>1</v>
      </c>
      <c r="F66" s="191">
        <f>B66+D66</f>
        <v>1654396</v>
      </c>
      <c r="G66" s="194">
        <f>F66/F$66</f>
        <v>1</v>
      </c>
    </row>
    <row r="67" spans="1:7" ht="15">
      <c r="A67" s="203" t="s">
        <v>23</v>
      </c>
      <c r="B67" s="194">
        <f>B66/F66</f>
        <v>0.1703745657025283</v>
      </c>
      <c r="C67" s="194"/>
      <c r="D67" s="194">
        <f>D66/F66</f>
        <v>0.8296254342974717</v>
      </c>
      <c r="E67" s="194"/>
      <c r="F67" s="191"/>
      <c r="G67" s="194"/>
    </row>
    <row r="68" spans="1:7" ht="15">
      <c r="A68" s="208" t="s">
        <v>295</v>
      </c>
      <c r="C68" s="209"/>
      <c r="E68" s="209"/>
      <c r="G68" s="209"/>
    </row>
    <row r="69" spans="1:7" ht="15">
      <c r="A69" s="203"/>
      <c r="B69" s="203" t="s">
        <v>289</v>
      </c>
      <c r="C69" s="194"/>
      <c r="D69" s="203" t="s">
        <v>290</v>
      </c>
      <c r="E69" s="194"/>
      <c r="F69" s="203" t="s">
        <v>232</v>
      </c>
      <c r="G69" s="209"/>
    </row>
    <row r="70" spans="1:7" ht="15">
      <c r="A70" s="203" t="s">
        <v>296</v>
      </c>
      <c r="B70" s="210">
        <v>16</v>
      </c>
      <c r="C70" s="194">
        <v>0.85</v>
      </c>
      <c r="D70" s="191">
        <v>124</v>
      </c>
      <c r="E70" s="194">
        <v>0.26</v>
      </c>
      <c r="F70" s="194">
        <f>(B$67*C70)+(D$67*E70)</f>
        <v>0.3605209937644917</v>
      </c>
      <c r="G70" s="209"/>
    </row>
    <row r="71" spans="1:7" ht="15">
      <c r="A71" s="203" t="s">
        <v>297</v>
      </c>
      <c r="B71" s="210">
        <v>148</v>
      </c>
      <c r="C71" s="194">
        <v>0.09</v>
      </c>
      <c r="D71" s="191">
        <v>192</v>
      </c>
      <c r="E71" s="194">
        <v>0.41</v>
      </c>
      <c r="F71" s="194">
        <f>(B$67*C71)+(D$67*E71)</f>
        <v>0.35548013897519093</v>
      </c>
      <c r="G71" s="209"/>
    </row>
    <row r="72" spans="1:7" ht="15">
      <c r="A72" s="203" t="s">
        <v>57</v>
      </c>
      <c r="B72" s="210">
        <f>SUM(B70:B71)</f>
        <v>164</v>
      </c>
      <c r="C72" s="211">
        <f>SUM(C70:C71)</f>
        <v>0.94</v>
      </c>
      <c r="D72" s="210">
        <f>SUM(D70:D71)</f>
        <v>316</v>
      </c>
      <c r="E72" s="211">
        <f>SUM(E70:E71)</f>
        <v>0.6699999999999999</v>
      </c>
      <c r="F72" s="194">
        <f>(B$67*C72)+(D$67*E72)</f>
        <v>0.7160011327396826</v>
      </c>
      <c r="G72" s="209"/>
    </row>
    <row r="73" ht="15">
      <c r="A73" s="208"/>
    </row>
    <row r="74" spans="1:7" ht="15">
      <c r="A74" s="203" t="s">
        <v>298</v>
      </c>
      <c r="B74" s="203" t="s">
        <v>299</v>
      </c>
      <c r="C74" s="194"/>
      <c r="D74" s="212" t="s">
        <v>276</v>
      </c>
      <c r="E74" s="191"/>
      <c r="F74" s="203" t="s">
        <v>261</v>
      </c>
      <c r="G74" s="191"/>
    </row>
    <row r="75" spans="1:7" ht="15">
      <c r="A75" s="203" t="s">
        <v>300</v>
      </c>
      <c r="B75" s="210">
        <f>B58</f>
        <v>3358878</v>
      </c>
      <c r="C75" s="194">
        <v>1</v>
      </c>
      <c r="D75" s="210">
        <f>B46</f>
        <v>1230523</v>
      </c>
      <c r="E75" s="194">
        <v>0.3663494178710867</v>
      </c>
      <c r="F75" s="210">
        <f>B55</f>
        <v>1615019</v>
      </c>
      <c r="G75" s="194">
        <v>0.4808209765284717</v>
      </c>
    </row>
    <row r="76" spans="1:7" ht="15">
      <c r="A76" s="203" t="s">
        <v>301</v>
      </c>
      <c r="B76" s="210">
        <f>N38</f>
        <v>2787380</v>
      </c>
      <c r="C76" s="194">
        <v>0.829854493077748</v>
      </c>
      <c r="D76" s="210">
        <f>N32+N33</f>
        <v>1172562</v>
      </c>
      <c r="E76" s="194">
        <v>0.42066815432413235</v>
      </c>
      <c r="F76" s="210">
        <f>N34</f>
        <v>1614818</v>
      </c>
      <c r="G76" s="194">
        <v>0.5793318456758677</v>
      </c>
    </row>
    <row r="77" spans="1:7" ht="15">
      <c r="A77" s="203" t="s">
        <v>302</v>
      </c>
      <c r="B77" s="210">
        <f>D57+F57</f>
        <v>2402730</v>
      </c>
      <c r="C77" s="194">
        <v>0.7153370857768576</v>
      </c>
      <c r="D77" s="210">
        <f>D46+F46</f>
        <v>1169081</v>
      </c>
      <c r="E77" s="194">
        <v>0.486563617218747</v>
      </c>
      <c r="F77" s="210">
        <f>D55+F55</f>
        <v>1233649</v>
      </c>
      <c r="G77" s="194">
        <v>0.513436382781253</v>
      </c>
    </row>
    <row r="78" spans="1:7" ht="15">
      <c r="A78" s="203" t="s">
        <v>303</v>
      </c>
      <c r="B78" s="210">
        <f>F66</f>
        <v>1654396</v>
      </c>
      <c r="C78" s="194">
        <v>0.4925442364980211</v>
      </c>
      <c r="D78" s="210">
        <f>F63</f>
        <v>1015747</v>
      </c>
      <c r="E78" s="194">
        <v>0.6139684815485531</v>
      </c>
      <c r="F78" s="210">
        <f>F64+F65</f>
        <v>638649</v>
      </c>
      <c r="G78" s="194">
        <v>0.38603151845144695</v>
      </c>
    </row>
    <row r="79" spans="1:7" ht="15">
      <c r="A79" s="203" t="s">
        <v>304</v>
      </c>
      <c r="B79" s="210">
        <f>B75*C79</f>
        <v>1158077.2</v>
      </c>
      <c r="C79" s="194">
        <v>0.34478096554861476</v>
      </c>
      <c r="D79" s="210">
        <f>B79*E78</f>
        <v>711022.9</v>
      </c>
      <c r="E79" s="194">
        <v>0.6139684815485531</v>
      </c>
      <c r="F79" s="213">
        <f>G79*B79</f>
        <v>447054.3</v>
      </c>
      <c r="G79" s="194">
        <v>0.38603151845144695</v>
      </c>
    </row>
    <row r="80" spans="1:7" ht="15">
      <c r="A80" s="203" t="s">
        <v>305</v>
      </c>
      <c r="B80" s="210">
        <f>B75*C80</f>
        <v>694846.3200000001</v>
      </c>
      <c r="C80" s="194">
        <v>0.20686857932916886</v>
      </c>
      <c r="D80" s="210">
        <f>B80*E79</f>
        <v>426613.74000000005</v>
      </c>
      <c r="E80" s="194">
        <v>0.6139684815485531</v>
      </c>
      <c r="F80" s="213">
        <f>G80*B80</f>
        <v>268232.58</v>
      </c>
      <c r="G80" s="194">
        <v>0.38603151845144695</v>
      </c>
    </row>
    <row r="81" ht="15"/>
    <row r="82" ht="15"/>
    <row r="83" spans="1:7" ht="15">
      <c r="A83" s="203" t="s">
        <v>306</v>
      </c>
      <c r="B83" s="203" t="s">
        <v>299</v>
      </c>
      <c r="C83" s="194"/>
      <c r="D83" s="212" t="s">
        <v>276</v>
      </c>
      <c r="E83" s="191"/>
      <c r="F83" s="203" t="s">
        <v>261</v>
      </c>
      <c r="G83" s="191"/>
    </row>
    <row r="84" spans="1:7" ht="15">
      <c r="A84" s="203" t="s">
        <v>300</v>
      </c>
      <c r="B84" s="210">
        <v>4000000</v>
      </c>
      <c r="C84" s="194">
        <v>1</v>
      </c>
      <c r="D84" s="210">
        <f aca="true" t="shared" si="21" ref="D84:D89">B84*E84</f>
        <v>1465397.671484347</v>
      </c>
      <c r="E84" s="194">
        <v>0.3663494178710867</v>
      </c>
      <c r="F84" s="210">
        <f aca="true" t="shared" si="22" ref="F84:F89">B84*G84</f>
        <v>1923283.906113887</v>
      </c>
      <c r="G84" s="194">
        <v>0.4808209765284717</v>
      </c>
    </row>
    <row r="85" spans="1:7" ht="15">
      <c r="A85" s="203" t="s">
        <v>301</v>
      </c>
      <c r="B85" s="210">
        <f>B$84*C85</f>
        <v>3319417.972310992</v>
      </c>
      <c r="C85" s="194">
        <v>0.829854493077748</v>
      </c>
      <c r="D85" s="210">
        <f t="shared" si="21"/>
        <v>1396373.4318424189</v>
      </c>
      <c r="E85" s="194">
        <v>0.42066815432413235</v>
      </c>
      <c r="F85" s="210">
        <f t="shared" si="22"/>
        <v>1923044.5404685733</v>
      </c>
      <c r="G85" s="194">
        <v>0.5793318456758677</v>
      </c>
    </row>
    <row r="86" spans="1:7" ht="15">
      <c r="A86" s="203" t="s">
        <v>302</v>
      </c>
      <c r="B86" s="210">
        <f>B$84*C86</f>
        <v>2861348.3431074303</v>
      </c>
      <c r="C86" s="194">
        <v>0.7153370857768576</v>
      </c>
      <c r="D86" s="210">
        <f t="shared" si="21"/>
        <v>1392227.9999452198</v>
      </c>
      <c r="E86" s="194">
        <v>0.486563617218747</v>
      </c>
      <c r="F86" s="210">
        <f t="shared" si="22"/>
        <v>1469120.3431622107</v>
      </c>
      <c r="G86" s="194">
        <v>0.513436382781253</v>
      </c>
    </row>
    <row r="87" spans="1:7" ht="15">
      <c r="A87" s="203" t="s">
        <v>303</v>
      </c>
      <c r="B87" s="210">
        <f>B$84*C87</f>
        <v>1970176.9459920845</v>
      </c>
      <c r="C87" s="194">
        <v>0.4925442364980211</v>
      </c>
      <c r="D87" s="210">
        <f t="shared" si="21"/>
        <v>1209626.5479127257</v>
      </c>
      <c r="E87" s="194">
        <v>0.6139684815485531</v>
      </c>
      <c r="F87" s="210">
        <f t="shared" si="22"/>
        <v>760550.3980793587</v>
      </c>
      <c r="G87" s="194">
        <v>0.38603151845144695</v>
      </c>
    </row>
    <row r="88" spans="1:7" ht="15">
      <c r="A88" s="203" t="s">
        <v>304</v>
      </c>
      <c r="B88" s="210">
        <f>B$84*C88</f>
        <v>1379123.862194459</v>
      </c>
      <c r="C88" s="194">
        <v>0.34478096554861476</v>
      </c>
      <c r="D88" s="210">
        <f t="shared" si="21"/>
        <v>846738.5835389079</v>
      </c>
      <c r="E88" s="194">
        <v>0.6139684815485531</v>
      </c>
      <c r="F88" s="210">
        <f t="shared" si="22"/>
        <v>532385.278655551</v>
      </c>
      <c r="G88" s="194">
        <v>0.38603151845144695</v>
      </c>
    </row>
    <row r="89" spans="1:7" ht="15">
      <c r="A89" s="203" t="s">
        <v>305</v>
      </c>
      <c r="B89" s="210">
        <f>B$84*C89</f>
        <v>827474.3173166754</v>
      </c>
      <c r="C89" s="194">
        <v>0.20686857932916886</v>
      </c>
      <c r="D89" s="210">
        <f t="shared" si="21"/>
        <v>508043.1501233448</v>
      </c>
      <c r="E89" s="194">
        <v>0.6139684815485531</v>
      </c>
      <c r="F89" s="210">
        <f t="shared" si="22"/>
        <v>319431.16719333065</v>
      </c>
      <c r="G89" s="194">
        <v>0.38603151845144695</v>
      </c>
    </row>
    <row r="92" spans="1:8" ht="15">
      <c r="A92" s="343" t="s">
        <v>307</v>
      </c>
      <c r="B92" s="343"/>
      <c r="C92" s="343"/>
      <c r="D92" s="343"/>
      <c r="E92" s="343"/>
      <c r="F92" s="343"/>
      <c r="G92" s="344"/>
      <c r="H92" s="344"/>
    </row>
    <row r="93" spans="1:8" ht="30">
      <c r="A93" s="198" t="s">
        <v>308</v>
      </c>
      <c r="B93" s="214" t="s">
        <v>309</v>
      </c>
      <c r="C93" s="214" t="s">
        <v>310</v>
      </c>
      <c r="D93" s="214" t="s">
        <v>311</v>
      </c>
      <c r="E93" s="214" t="s">
        <v>312</v>
      </c>
      <c r="F93" s="198" t="s">
        <v>248</v>
      </c>
      <c r="G93" s="214" t="s">
        <v>313</v>
      </c>
      <c r="H93" s="214" t="s">
        <v>314</v>
      </c>
    </row>
    <row r="94" spans="1:8" ht="15">
      <c r="A94" s="198" t="s">
        <v>315</v>
      </c>
      <c r="B94" s="215">
        <v>0.021038274226686377</v>
      </c>
      <c r="C94" s="215">
        <v>0.05533873015450813</v>
      </c>
      <c r="D94" s="215">
        <v>0.22462560811904378</v>
      </c>
      <c r="E94" s="215">
        <v>0.10944713721177088</v>
      </c>
      <c r="F94" s="215">
        <v>0.09790311217935435</v>
      </c>
      <c r="G94" s="216">
        <v>0.030747973650154227</v>
      </c>
      <c r="H94" s="216">
        <v>0.06712866164789795</v>
      </c>
    </row>
    <row r="95" spans="1:8" ht="15">
      <c r="A95" s="198" t="s">
        <v>316</v>
      </c>
      <c r="B95" s="215">
        <v>0.004742609510983969</v>
      </c>
      <c r="C95" s="215">
        <v>0.010376587358016305</v>
      </c>
      <c r="D95" s="215">
        <v>0.012005293372811485</v>
      </c>
      <c r="E95" s="215">
        <v>0.008549358638241274</v>
      </c>
      <c r="F95" s="215">
        <v>0.013302391115163069</v>
      </c>
      <c r="G95" s="215">
        <v>0.003269404793180956</v>
      </c>
      <c r="H95" s="216">
        <v>0.008210634995598527</v>
      </c>
    </row>
    <row r="96" spans="1:8" ht="15">
      <c r="A96" s="198" t="s">
        <v>317</v>
      </c>
      <c r="B96" s="215">
        <v>0.0020658440476996817</v>
      </c>
      <c r="C96" s="215">
        <v>0.007844589555483488</v>
      </c>
      <c r="D96" s="215">
        <v>0.031607909593762196</v>
      </c>
      <c r="E96" s="215">
        <v>0.03960073152328213</v>
      </c>
      <c r="F96" s="215">
        <v>0.056946976917657786</v>
      </c>
      <c r="G96" s="215">
        <v>0.028461336369209212</v>
      </c>
      <c r="H96" s="216">
        <v>0.015544356815745664</v>
      </c>
    </row>
    <row r="97" spans="1:8" ht="15">
      <c r="A97" s="198" t="s">
        <v>223</v>
      </c>
      <c r="B97" s="215">
        <v>0.036005184863492266</v>
      </c>
      <c r="C97" s="215">
        <v>0.09232942774803604</v>
      </c>
      <c r="D97" s="215">
        <v>0.08104763083484867</v>
      </c>
      <c r="E97" s="215">
        <v>0.07058176563119462</v>
      </c>
      <c r="F97" s="215">
        <v>0.04638742696117028</v>
      </c>
      <c r="G97" s="215">
        <v>0.00799836529760341</v>
      </c>
      <c r="H97" s="216">
        <v>0.05869400802296656</v>
      </c>
    </row>
    <row r="98" spans="1:8" ht="15">
      <c r="A98" s="198" t="s">
        <v>318</v>
      </c>
      <c r="B98" s="215">
        <v>0.9354229501926394</v>
      </c>
      <c r="C98" s="215">
        <v>0.8284614967534162</v>
      </c>
      <c r="D98" s="215">
        <v>0.6397888363148224</v>
      </c>
      <c r="E98" s="215">
        <v>0.7664944432366069</v>
      </c>
      <c r="F98" s="215">
        <v>0.7820386639592226</v>
      </c>
      <c r="G98" s="215">
        <v>0.927372507808623</v>
      </c>
      <c r="H98" s="216">
        <v>0.8465959876150103</v>
      </c>
    </row>
    <row r="99" spans="1:8" ht="15">
      <c r="A99" s="198" t="s">
        <v>319</v>
      </c>
      <c r="B99" s="215">
        <v>0.00040971577545184944</v>
      </c>
      <c r="C99" s="215">
        <v>0.0056184775480849405</v>
      </c>
      <c r="D99" s="215">
        <v>0.01085331835448461</v>
      </c>
      <c r="E99" s="215">
        <v>0.00509636412466589</v>
      </c>
      <c r="F99" s="215">
        <v>0.0034214288674319342</v>
      </c>
      <c r="G99" s="215">
        <v>0.0021504120812291406</v>
      </c>
      <c r="H99" s="216">
        <v>0.0036654519878765064</v>
      </c>
    </row>
    <row r="100" spans="1:8" ht="15">
      <c r="A100" s="198" t="s">
        <v>320</v>
      </c>
      <c r="B100" s="215">
        <v>0.0003154213830463995</v>
      </c>
      <c r="C100" s="215">
        <v>3.0690882454943224E-05</v>
      </c>
      <c r="D100" s="215">
        <v>7.140341022687243E-05</v>
      </c>
      <c r="E100" s="215">
        <v>0.00023019963423835893</v>
      </c>
      <c r="F100" s="215">
        <v>0</v>
      </c>
      <c r="G100" s="215">
        <v>0</v>
      </c>
      <c r="H100" s="216">
        <v>0.0001608989149044807</v>
      </c>
    </row>
    <row r="101" spans="1:8" ht="15">
      <c r="A101" s="198" t="s">
        <v>57</v>
      </c>
      <c r="B101" s="215">
        <f aca="true" t="shared" si="23" ref="B101:H101">SUM(B94:B100)</f>
        <v>1</v>
      </c>
      <c r="C101" s="215">
        <f t="shared" si="23"/>
        <v>1</v>
      </c>
      <c r="D101" s="215">
        <f t="shared" si="23"/>
        <v>1</v>
      </c>
      <c r="E101" s="215">
        <f t="shared" si="23"/>
        <v>1</v>
      </c>
      <c r="F101" s="215">
        <f t="shared" si="23"/>
        <v>1</v>
      </c>
      <c r="G101" s="215">
        <f t="shared" si="23"/>
        <v>0.9999999999999999</v>
      </c>
      <c r="H101" s="215">
        <f t="shared" si="23"/>
        <v>1</v>
      </c>
    </row>
    <row r="102" spans="1:8" ht="15">
      <c r="A102" s="345" t="s">
        <v>321</v>
      </c>
      <c r="B102" s="345"/>
      <c r="C102" s="345"/>
      <c r="D102" s="345"/>
      <c r="E102" s="345"/>
      <c r="F102" s="345"/>
      <c r="G102" s="344"/>
      <c r="H102" s="344"/>
    </row>
    <row r="103" spans="1:8" ht="15">
      <c r="A103" s="345"/>
      <c r="B103" s="345"/>
      <c r="C103" s="345"/>
      <c r="D103" s="345"/>
      <c r="E103" s="345"/>
      <c r="F103" s="345"/>
      <c r="G103" s="344"/>
      <c r="H103" s="344"/>
    </row>
    <row r="104" spans="1:8" ht="15">
      <c r="A104" s="217"/>
      <c r="B104" s="217"/>
      <c r="C104" s="217"/>
      <c r="D104" s="217"/>
      <c r="E104" s="217"/>
      <c r="F104" s="217"/>
      <c r="G104" s="217"/>
      <c r="H104" s="217"/>
    </row>
    <row r="105" spans="1:8" ht="15">
      <c r="A105" s="343" t="s">
        <v>307</v>
      </c>
      <c r="B105" s="343"/>
      <c r="C105" s="343"/>
      <c r="D105" s="343"/>
      <c r="E105" s="343"/>
      <c r="F105" s="343"/>
      <c r="G105" s="344"/>
      <c r="H105" s="344"/>
    </row>
    <row r="106" spans="1:8" ht="30">
      <c r="A106" s="198" t="s">
        <v>308</v>
      </c>
      <c r="B106" s="214" t="s">
        <v>309</v>
      </c>
      <c r="C106" s="214" t="s">
        <v>310</v>
      </c>
      <c r="D106" s="214" t="s">
        <v>311</v>
      </c>
      <c r="E106" s="214" t="s">
        <v>312</v>
      </c>
      <c r="F106" s="198" t="s">
        <v>248</v>
      </c>
      <c r="G106" s="214" t="s">
        <v>313</v>
      </c>
      <c r="H106" s="214" t="s">
        <v>314</v>
      </c>
    </row>
    <row r="107" spans="1:8" ht="15">
      <c r="A107" s="198" t="s">
        <v>315</v>
      </c>
      <c r="B107" s="215">
        <v>0.021038274226686377</v>
      </c>
      <c r="C107" s="215">
        <v>0.05533873015450813</v>
      </c>
      <c r="D107" s="215">
        <v>0.22462560811904378</v>
      </c>
      <c r="E107" s="215">
        <v>0.10944713721177088</v>
      </c>
      <c r="F107" s="215">
        <v>0.09790311217935435</v>
      </c>
      <c r="G107" s="216">
        <v>0.030747973650154227</v>
      </c>
      <c r="H107" s="216">
        <v>0.06712866164789795</v>
      </c>
    </row>
    <row r="108" spans="1:8" ht="15">
      <c r="A108" s="198" t="s">
        <v>223</v>
      </c>
      <c r="B108" s="215">
        <v>0.036005184863492266</v>
      </c>
      <c r="C108" s="215">
        <v>0.09232942774803604</v>
      </c>
      <c r="D108" s="215">
        <v>0.08104763083484867</v>
      </c>
      <c r="E108" s="215">
        <v>0.07058176563119462</v>
      </c>
      <c r="F108" s="215">
        <v>0.04638742696117028</v>
      </c>
      <c r="G108" s="215">
        <v>0.00799836529760341</v>
      </c>
      <c r="H108" s="216">
        <v>0.05869400802296656</v>
      </c>
    </row>
    <row r="109" spans="1:8" ht="15">
      <c r="A109" s="198" t="s">
        <v>322</v>
      </c>
      <c r="B109" s="199">
        <f aca="true" t="shared" si="24" ref="B109:H109">B95+B96</f>
        <v>0.0068084535586836505</v>
      </c>
      <c r="C109" s="199">
        <f t="shared" si="24"/>
        <v>0.018221176913499795</v>
      </c>
      <c r="D109" s="199">
        <f t="shared" si="24"/>
        <v>0.04361320296657368</v>
      </c>
      <c r="E109" s="199">
        <f t="shared" si="24"/>
        <v>0.048150090161523405</v>
      </c>
      <c r="F109" s="199">
        <f t="shared" si="24"/>
        <v>0.07024936803282085</v>
      </c>
      <c r="G109" s="199">
        <f t="shared" si="24"/>
        <v>0.03173074116239017</v>
      </c>
      <c r="H109" s="199">
        <f t="shared" si="24"/>
        <v>0.02375499181134419</v>
      </c>
    </row>
    <row r="110" spans="1:8" ht="15">
      <c r="A110" s="198" t="s">
        <v>323</v>
      </c>
      <c r="B110" s="199">
        <f aca="true" t="shared" si="25" ref="B110:H110">1-(SUM(B107:B109))</f>
        <v>0.9361480873511377</v>
      </c>
      <c r="C110" s="199">
        <f t="shared" si="25"/>
        <v>0.834110665183956</v>
      </c>
      <c r="D110" s="199">
        <f t="shared" si="25"/>
        <v>0.6507135580795339</v>
      </c>
      <c r="E110" s="199">
        <f t="shared" si="25"/>
        <v>0.7718210069955111</v>
      </c>
      <c r="F110" s="199">
        <f t="shared" si="25"/>
        <v>0.7854600928266545</v>
      </c>
      <c r="G110" s="199">
        <f t="shared" si="25"/>
        <v>0.9295229198898523</v>
      </c>
      <c r="H110" s="199">
        <f t="shared" si="25"/>
        <v>0.8504223385177914</v>
      </c>
    </row>
    <row r="111" spans="1:8" ht="15">
      <c r="A111" s="217"/>
      <c r="B111" s="217"/>
      <c r="C111" s="217"/>
      <c r="D111" s="217"/>
      <c r="E111" s="217"/>
      <c r="F111" s="217"/>
      <c r="G111" s="217"/>
      <c r="H111" s="217"/>
    </row>
    <row r="112" spans="1:8" ht="15.75">
      <c r="A112" s="198" t="s">
        <v>308</v>
      </c>
      <c r="B112" s="218" t="s">
        <v>324</v>
      </c>
      <c r="C112" s="218" t="s">
        <v>325</v>
      </c>
      <c r="D112" s="218" t="s">
        <v>326</v>
      </c>
      <c r="E112" s="218" t="s">
        <v>327</v>
      </c>
      <c r="F112" s="218" t="s">
        <v>328</v>
      </c>
      <c r="G112" s="217"/>
      <c r="H112" s="217"/>
    </row>
    <row r="113" spans="1:8" ht="15">
      <c r="A113" s="198" t="s">
        <v>315</v>
      </c>
      <c r="B113" s="199">
        <f>C107</f>
        <v>0.05533873015450813</v>
      </c>
      <c r="C113" s="199">
        <f>B107</f>
        <v>0.021038274226686377</v>
      </c>
      <c r="D113" s="215">
        <f>F107</f>
        <v>0.09790311217935435</v>
      </c>
      <c r="E113" s="215">
        <f>D107</f>
        <v>0.22462560811904378</v>
      </c>
      <c r="F113" s="215">
        <f>G107</f>
        <v>0.030747973650154227</v>
      </c>
      <c r="G113" s="217"/>
      <c r="H113" s="217"/>
    </row>
    <row r="114" spans="1:8" ht="15">
      <c r="A114" s="198" t="s">
        <v>223</v>
      </c>
      <c r="B114" s="199">
        <f>C108</f>
        <v>0.09232942774803604</v>
      </c>
      <c r="C114" s="199">
        <f>B108</f>
        <v>0.036005184863492266</v>
      </c>
      <c r="D114" s="215">
        <f>F108</f>
        <v>0.04638742696117028</v>
      </c>
      <c r="E114" s="215">
        <f>D108</f>
        <v>0.08104763083484867</v>
      </c>
      <c r="F114" s="215">
        <f>G108</f>
        <v>0.00799836529760341</v>
      </c>
      <c r="G114" s="217"/>
      <c r="H114" s="217"/>
    </row>
    <row r="115" spans="1:8" ht="15">
      <c r="A115" s="198" t="s">
        <v>322</v>
      </c>
      <c r="B115" s="199">
        <f>C109</f>
        <v>0.018221176913499795</v>
      </c>
      <c r="C115" s="199">
        <f>B109</f>
        <v>0.0068084535586836505</v>
      </c>
      <c r="D115" s="215">
        <f>F109</f>
        <v>0.07024936803282085</v>
      </c>
      <c r="E115" s="215">
        <f>D109</f>
        <v>0.04361320296657368</v>
      </c>
      <c r="F115" s="215">
        <f>G109</f>
        <v>0.03173074116239017</v>
      </c>
      <c r="G115" s="217"/>
      <c r="H115" s="217"/>
    </row>
    <row r="116" spans="1:8" ht="15">
      <c r="A116" s="198" t="s">
        <v>323</v>
      </c>
      <c r="B116" s="199">
        <f>1-(SUM(B113:B115))</f>
        <v>0.834110665183956</v>
      </c>
      <c r="C116" s="199">
        <f>1-(SUM(C113:C115))</f>
        <v>0.9361480873511377</v>
      </c>
      <c r="D116" s="199">
        <f>1-(SUM(D113:D115))</f>
        <v>0.7854600928266545</v>
      </c>
      <c r="E116" s="199">
        <f>1-(SUM(E113:E115))</f>
        <v>0.6507135580795339</v>
      </c>
      <c r="F116" s="199">
        <f>1-(SUM(F113:F115))</f>
        <v>0.9295229198898523</v>
      </c>
      <c r="G116" s="217"/>
      <c r="H116" s="217"/>
    </row>
  </sheetData>
  <mergeCells count="3">
    <mergeCell ref="A92:H92"/>
    <mergeCell ref="A102:H103"/>
    <mergeCell ref="A105:H105"/>
  </mergeCells>
  <printOptions gridLines="1"/>
  <pageMargins left="0.75" right="0.75" top="1" bottom="1" header="0.5" footer="0.5"/>
  <pageSetup horizontalDpi="600" verticalDpi="600" orientation="landscape" r:id="rId3"/>
  <headerFooter alignWithMargins="0">
    <oddHeader>&amp;C&amp;A</oddHeader>
    <oddFooter>&amp;CPage &amp;P</oddFooter>
  </headerFooter>
  <legacyDrawing r:id="rId2"/>
</worksheet>
</file>

<file path=xl/worksheets/sheet9.xml><?xml version="1.0" encoding="utf-8"?>
<worksheet xmlns="http://schemas.openxmlformats.org/spreadsheetml/2006/main" xmlns:r="http://schemas.openxmlformats.org/officeDocument/2006/relationships">
  <sheetPr codeName="Sheet8"/>
  <dimension ref="A1:C22"/>
  <sheetViews>
    <sheetView workbookViewId="0" topLeftCell="A1">
      <selection activeCell="A1" sqref="A1"/>
    </sheetView>
  </sheetViews>
  <sheetFormatPr defaultColWidth="9.140625" defaultRowHeight="12.75"/>
  <cols>
    <col min="2" max="2" width="12.140625" style="0" customWidth="1"/>
    <col min="3" max="3" width="12.00390625" style="0" customWidth="1"/>
  </cols>
  <sheetData>
    <row r="1" ht="15.75">
      <c r="A1" s="219" t="s">
        <v>329</v>
      </c>
    </row>
    <row r="2" spans="1:3" ht="25.5">
      <c r="A2" s="220" t="s">
        <v>330</v>
      </c>
      <c r="B2" s="220" t="s">
        <v>331</v>
      </c>
      <c r="C2" s="220" t="s">
        <v>332</v>
      </c>
    </row>
    <row r="3" spans="1:3" ht="12.75">
      <c r="A3" s="221">
        <v>1980</v>
      </c>
      <c r="B3" s="222">
        <v>7.55</v>
      </c>
      <c r="C3" s="222">
        <v>7.51</v>
      </c>
    </row>
    <row r="4" spans="1:3" ht="12.75">
      <c r="A4" s="221">
        <v>1981</v>
      </c>
      <c r="B4" s="222">
        <v>7.78</v>
      </c>
      <c r="C4" s="222">
        <v>7.7</v>
      </c>
    </row>
    <row r="5" spans="1:3" ht="12.75">
      <c r="A5" s="221">
        <v>1982</v>
      </c>
      <c r="B5" s="222">
        <v>8.31</v>
      </c>
      <c r="C5" s="222">
        <v>7.79</v>
      </c>
    </row>
    <row r="6" spans="1:3" ht="12.75">
      <c r="A6" s="221">
        <v>1983</v>
      </c>
      <c r="B6" s="222">
        <v>8.43</v>
      </c>
      <c r="C6" s="222">
        <v>8.23</v>
      </c>
    </row>
    <row r="7" spans="1:3" ht="12.75">
      <c r="A7" s="221">
        <v>1984</v>
      </c>
      <c r="B7" s="222">
        <v>8.66</v>
      </c>
      <c r="C7" s="222">
        <v>8.45</v>
      </c>
    </row>
    <row r="8" spans="1:3" ht="12.75">
      <c r="A8" s="221">
        <v>1985</v>
      </c>
      <c r="B8" s="222">
        <v>8.82</v>
      </c>
      <c r="C8" s="222">
        <v>8.56</v>
      </c>
    </row>
    <row r="9" spans="1:3" ht="12.75">
      <c r="A9" s="221">
        <v>1986</v>
      </c>
      <c r="B9" s="222">
        <v>8.87</v>
      </c>
      <c r="C9" s="222">
        <v>8.7</v>
      </c>
    </row>
    <row r="10" spans="1:3" ht="12.75">
      <c r="A10" s="221">
        <v>1987</v>
      </c>
      <c r="B10" s="222">
        <v>8.97</v>
      </c>
      <c r="C10" s="222">
        <v>8.93</v>
      </c>
    </row>
    <row r="11" spans="1:3" ht="12.75">
      <c r="A11" s="221">
        <v>1988</v>
      </c>
      <c r="B11" s="222">
        <v>9.11</v>
      </c>
      <c r="C11" s="222">
        <v>9.13</v>
      </c>
    </row>
    <row r="12" spans="1:3" ht="12.75">
      <c r="A12" s="221">
        <v>1989</v>
      </c>
      <c r="B12" s="222">
        <v>9.25</v>
      </c>
      <c r="C12" s="222">
        <v>9.26</v>
      </c>
    </row>
    <row r="13" spans="1:3" ht="12.75">
      <c r="A13" s="221">
        <v>1990</v>
      </c>
      <c r="B13" s="222">
        <v>9.31</v>
      </c>
      <c r="C13" s="222">
        <v>9.46</v>
      </c>
    </row>
    <row r="14" spans="1:3" ht="12.75">
      <c r="A14" s="221">
        <v>1991</v>
      </c>
      <c r="B14" s="222">
        <v>9.49</v>
      </c>
      <c r="C14" s="222">
        <v>9.77</v>
      </c>
    </row>
    <row r="15" spans="1:3" ht="12.75">
      <c r="A15" s="221">
        <v>1992</v>
      </c>
      <c r="B15" s="222">
        <v>10.46</v>
      </c>
      <c r="C15" s="222">
        <v>10.6</v>
      </c>
    </row>
    <row r="16" spans="1:3" ht="12.75">
      <c r="A16" s="221">
        <v>1993</v>
      </c>
      <c r="B16" s="222">
        <v>10.56</v>
      </c>
      <c r="C16" s="222">
        <v>10.86</v>
      </c>
    </row>
    <row r="17" spans="1:3" ht="12.75">
      <c r="A17" s="221">
        <v>1994</v>
      </c>
      <c r="B17" s="222">
        <v>10.61</v>
      </c>
      <c r="C17" s="222">
        <v>10.94</v>
      </c>
    </row>
    <row r="18" spans="1:3" ht="12.75">
      <c r="A18" s="221">
        <v>1995</v>
      </c>
      <c r="B18" s="222">
        <v>10.68</v>
      </c>
      <c r="C18" s="222">
        <v>10.97</v>
      </c>
    </row>
    <row r="19" spans="1:3" ht="12.75">
      <c r="A19" s="221">
        <v>1996</v>
      </c>
      <c r="B19" s="222">
        <v>10.68</v>
      </c>
      <c r="C19" s="223">
        <v>11</v>
      </c>
    </row>
    <row r="20" spans="1:3" ht="12.75">
      <c r="A20" s="221">
        <v>1997</v>
      </c>
      <c r="B20" s="222">
        <v>10.66</v>
      </c>
      <c r="C20" s="222">
        <v>10.97</v>
      </c>
    </row>
    <row r="21" ht="12.75">
      <c r="A21" t="s">
        <v>333</v>
      </c>
    </row>
    <row r="22" ht="12.75">
      <c r="A22" t="s">
        <v>334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NWPPC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Star Compact Flourescent Bulbs</dc:title>
  <dc:subject>Deemed Savings Analysis</dc:subject>
  <dc:creator>Tom Eckman</dc:creator>
  <cp:keywords/>
  <dc:description/>
  <cp:lastModifiedBy>Tom Eckman</cp:lastModifiedBy>
  <cp:lastPrinted>2000-08-20T00:45:03Z</cp:lastPrinted>
  <dcterms:created xsi:type="dcterms:W3CDTF">1998-09-25T20:50:37Z</dcterms:created>
  <dcterms:modified xsi:type="dcterms:W3CDTF">2003-01-17T19:28:59Z</dcterms:modified>
  <cp:category/>
  <cp:version/>
  <cp:contentType/>
  <cp:contentStatus/>
</cp:coreProperties>
</file>