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jects\GovernorsReports\2016\Links\"/>
    </mc:Choice>
  </mc:AlternateContent>
  <bookViews>
    <workbookView xWindow="-15" yWindow="5745" windowWidth="19170" windowHeight="5805" tabRatio="712" firstSheet="1" activeTab="12"/>
  </bookViews>
  <sheets>
    <sheet name="1_CostsByArea" sheetId="36" r:id="rId1"/>
    <sheet name="2_SpeciesType" sheetId="15" r:id="rId2"/>
    <sheet name="3_FCRPS" sheetId="16" r:id="rId3"/>
    <sheet name="4_ESASpecies" sheetId="17" r:id="rId4"/>
    <sheet name="5_Fund" sheetId="23" r:id="rId5"/>
    <sheet name="6a_Category" sheetId="24" r:id="rId6"/>
    <sheet name="6b_ArtProd" sheetId="34" r:id="rId7"/>
    <sheet name="7_RME" sheetId="33" r:id="rId8"/>
    <sheet name="8_Province" sheetId="19" r:id="rId9"/>
    <sheet name="9_Location" sheetId="27" r:id="rId10"/>
    <sheet name="10_Contractor" sheetId="28" r:id="rId11"/>
    <sheet name="11_LandPurchases" sheetId="20" r:id="rId12"/>
    <sheet name="12_Cumulative" sheetId="21" r:id="rId13"/>
  </sheets>
  <externalReferences>
    <externalReference r:id="rId14"/>
    <externalReference r:id="rId15"/>
    <externalReference r:id="rId16"/>
  </externalReferences>
  <definedNames>
    <definedName name="_xlnm._FilterDatabase" localSheetId="10" hidden="1">'10_Contractor'!$A$2:$E$2</definedName>
    <definedName name="_xlcn.WorksheetConnection_4_CostsByLocationA3E91" hidden="1">'9_Location'!$A$4:$G$10</definedName>
    <definedName name="ASD">[1]nVision!$E$3</definedName>
    <definedName name="CreditPercent">[1]nVision!$E$9</definedName>
    <definedName name="dsa" localSheetId="0">[2]IS!#REF!</definedName>
    <definedName name="dsa" localSheetId="6">[2]IS!#REF!</definedName>
    <definedName name="dsa">[2]IS!#REF!</definedName>
    <definedName name="dsb">[2]IS!#REF!</definedName>
    <definedName name="dsc">[2]IS!#REF!</definedName>
    <definedName name="f" localSheetId="0">#REF!</definedName>
    <definedName name="f" localSheetId="6">#REF!</definedName>
    <definedName name="f">#REF!</definedName>
    <definedName name="FY">[1]nVision!$E$8</definedName>
    <definedName name="g">#REF!</definedName>
    <definedName name="h">#REF!</definedName>
    <definedName name="layout">[3]Layout!$E$4</definedName>
    <definedName name="NvsASD">"V2014-09-30"</definedName>
    <definedName name="NvsAutoDrillOk">"VN"</definedName>
    <definedName name="NvsElapsedTime">0.000127314815472346</definedName>
    <definedName name="NvsEndTime">41127.4998842593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"VCORPT"</definedName>
    <definedName name="NvsPanelEffdt">"V2013-10-01"</definedName>
    <definedName name="NvsPanelSetid">"VFCRPS"</definedName>
    <definedName name="NvsReqBU">"VCORPT"</definedName>
    <definedName name="NvsReqBUOnly">"VN"</definedName>
    <definedName name="NvsTransLed">"VN"</definedName>
    <definedName name="NvsTreeASD">"V2013-10-01"</definedName>
    <definedName name="NvsValTbl.ACCOUNT">"GL_ACCOUNT_TBL"</definedName>
    <definedName name="NvsValTbl.ANALYSIS_TYPE">"GL_ACCOUNT_TBL"</definedName>
    <definedName name="NvsValTbl.BUSINESS_UNIT">"BUS_UNIT_TBL_GL"</definedName>
    <definedName name="NvsValTbl.PROJECT_ID">"PROJECT_VW"</definedName>
    <definedName name="NvsValTbl.SCENARIO">"BD_SCENARIO_TBL"</definedName>
    <definedName name="_xlnm.Print_Titles" localSheetId="10">'10_Contractor'!$2:$2</definedName>
    <definedName name="RID">[1]nVision!$E$7</definedName>
    <definedName name="StartOfYear">[1]nVision!$E$10</definedName>
    <definedName name="subtitle">'2_SpeciesType'!$D$34</definedName>
  </definedNames>
  <calcPr calcId="152511"/>
  <extLst>
    <ext xmlns:x15="http://schemas.microsoft.com/office/spreadsheetml/2010/11/main" uri="{FCE2AD5D-F65C-4FA6-A056-5C36A1767C68}">
      <x15:dataModel>
        <x15:modelTables>
          <x15:modelTable id="Range-5170fc5c-6da7-4755-86ea-689762ede593" name="Range" connection="WorksheetConnection_4_CostsByLocation!$A$3:$E$9"/>
        </x15:modelTables>
      </x15:dataModel>
    </ext>
  </extLst>
</workbook>
</file>

<file path=xl/calcChain.xml><?xml version="1.0" encoding="utf-8"?>
<calcChain xmlns="http://schemas.openxmlformats.org/spreadsheetml/2006/main">
  <c r="AL12" i="21" l="1"/>
  <c r="AK12" i="21"/>
  <c r="AJ12" i="21"/>
  <c r="AI12" i="21"/>
  <c r="B14" i="36" l="1"/>
  <c r="D34" i="15" l="1"/>
  <c r="F6" i="34"/>
  <c r="F7" i="34" s="1"/>
  <c r="E6" i="34"/>
  <c r="E7" i="34" s="1"/>
  <c r="H7" i="34"/>
  <c r="G7" i="34"/>
  <c r="D7" i="34"/>
  <c r="C7" i="34"/>
  <c r="B7" i="34"/>
  <c r="I6" i="34"/>
  <c r="I5" i="34"/>
  <c r="I4" i="34"/>
  <c r="I3" i="34"/>
  <c r="AL9" i="21" l="1"/>
  <c r="AK9" i="21"/>
  <c r="H59" i="28" l="1"/>
  <c r="D59" i="28"/>
  <c r="C59" i="28"/>
  <c r="H57" i="28"/>
  <c r="D57" i="28"/>
  <c r="C57" i="28"/>
  <c r="F34" i="28"/>
  <c r="E34" i="28"/>
  <c r="I28" i="28"/>
  <c r="H28" i="28"/>
  <c r="G28" i="28"/>
  <c r="F28" i="28"/>
  <c r="E28" i="28"/>
  <c r="D28" i="28"/>
  <c r="C28" i="28"/>
  <c r="I25" i="28"/>
  <c r="H25" i="28"/>
  <c r="G25" i="28"/>
  <c r="F25" i="28"/>
  <c r="E25" i="28"/>
  <c r="D25" i="28"/>
  <c r="C25" i="28"/>
  <c r="I21" i="28"/>
  <c r="H21" i="28"/>
  <c r="G21" i="28"/>
  <c r="F21" i="28"/>
  <c r="E21" i="28"/>
  <c r="D21" i="28"/>
  <c r="C21" i="28"/>
  <c r="I16" i="28"/>
  <c r="H16" i="28"/>
  <c r="G16" i="28"/>
  <c r="F16" i="28"/>
  <c r="E16" i="28"/>
  <c r="D16" i="28"/>
  <c r="C16" i="28"/>
  <c r="C11" i="27" l="1"/>
  <c r="B11" i="27"/>
  <c r="B8" i="19" l="1"/>
  <c r="B6" i="19"/>
  <c r="B14" i="33" l="1"/>
  <c r="B12" i="24" l="1"/>
  <c r="C12" i="24"/>
  <c r="D12" i="24"/>
  <c r="E12" i="24"/>
  <c r="F12" i="24"/>
  <c r="G12" i="24"/>
  <c r="H12" i="24"/>
  <c r="A29" i="17" l="1"/>
  <c r="G19" i="17"/>
  <c r="D19" i="17"/>
  <c r="H19" i="17" s="1"/>
  <c r="H18" i="17"/>
  <c r="G18" i="17"/>
  <c r="D18" i="17"/>
  <c r="D17" i="17"/>
  <c r="H17" i="17" s="1"/>
  <c r="D16" i="17"/>
  <c r="H16" i="17" s="1"/>
  <c r="G15" i="17"/>
  <c r="H15" i="17" s="1"/>
  <c r="D15" i="17"/>
  <c r="G14" i="17"/>
  <c r="D14" i="17"/>
  <c r="H14" i="17" s="1"/>
  <c r="G13" i="17"/>
  <c r="D13" i="17"/>
  <c r="H13" i="17" s="1"/>
  <c r="H12" i="17"/>
  <c r="G12" i="17"/>
  <c r="D12" i="17"/>
  <c r="G11" i="17"/>
  <c r="H11" i="17" s="1"/>
  <c r="D11" i="17"/>
  <c r="G10" i="17"/>
  <c r="D10" i="17"/>
  <c r="H10" i="17" s="1"/>
  <c r="G9" i="17"/>
  <c r="D9" i="17"/>
  <c r="H9" i="17" s="1"/>
  <c r="H8" i="17"/>
  <c r="G8" i="17"/>
  <c r="D8" i="17"/>
  <c r="G7" i="17"/>
  <c r="H7" i="17" s="1"/>
  <c r="D7" i="17"/>
  <c r="G6" i="17"/>
  <c r="D6" i="17"/>
  <c r="H6" i="17" s="1"/>
  <c r="G5" i="17"/>
  <c r="D5" i="17"/>
  <c r="H5" i="17" s="1"/>
  <c r="H4" i="17"/>
  <c r="G4" i="17"/>
  <c r="D4" i="17"/>
  <c r="G3" i="17"/>
  <c r="H3" i="17" s="1"/>
  <c r="D3" i="17"/>
  <c r="H8" i="16" l="1"/>
  <c r="H5" i="16"/>
  <c r="AH12" i="21" l="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I13" i="15" l="1"/>
  <c r="I4" i="24"/>
  <c r="A19" i="23" l="1"/>
  <c r="A1" i="23"/>
  <c r="A1" i="20" l="1"/>
  <c r="E12" i="27" l="1"/>
  <c r="E36" i="19" l="1"/>
  <c r="E35" i="19"/>
  <c r="E34" i="19"/>
  <c r="E33" i="19"/>
  <c r="E32" i="19"/>
  <c r="E31" i="19"/>
  <c r="E30" i="19"/>
  <c r="E29" i="19"/>
  <c r="E28" i="19"/>
  <c r="E27" i="19"/>
  <c r="E26" i="19"/>
  <c r="F37" i="19" l="1"/>
  <c r="A1" i="19"/>
  <c r="F26" i="19"/>
  <c r="C8" i="33" l="1"/>
  <c r="C7" i="33"/>
  <c r="C6" i="33"/>
  <c r="C5" i="33"/>
  <c r="C4" i="33"/>
  <c r="C3" i="33"/>
  <c r="B9" i="33"/>
  <c r="I3" i="24" l="1"/>
  <c r="I5" i="24"/>
  <c r="I6" i="24"/>
  <c r="I7" i="24"/>
  <c r="I8" i="24"/>
  <c r="I9" i="24"/>
  <c r="I10" i="24"/>
  <c r="I11" i="24"/>
  <c r="H17" i="15" l="1"/>
  <c r="B31" i="15" s="1"/>
  <c r="G17" i="15"/>
  <c r="F17" i="15"/>
  <c r="E17" i="15"/>
  <c r="D17" i="15"/>
  <c r="C17" i="15"/>
  <c r="B17" i="15"/>
  <c r="H14" i="15"/>
  <c r="G14" i="15"/>
  <c r="F14" i="15"/>
  <c r="E14" i="15"/>
  <c r="D14" i="15"/>
  <c r="C14" i="15"/>
  <c r="B14" i="15"/>
  <c r="F38" i="19" l="1"/>
  <c r="F36" i="19"/>
  <c r="F35" i="19"/>
  <c r="F34" i="19"/>
  <c r="F33" i="19"/>
  <c r="F32" i="19"/>
  <c r="F31" i="19"/>
  <c r="F30" i="19"/>
  <c r="F29" i="19"/>
  <c r="F28" i="19"/>
  <c r="F27" i="19"/>
  <c r="AI9" i="21" l="1"/>
  <c r="AJ9" i="21"/>
  <c r="H37" i="20" l="1"/>
  <c r="G37" i="20"/>
  <c r="F37" i="20"/>
  <c r="D37" i="20"/>
  <c r="C37" i="20"/>
  <c r="B37" i="20"/>
  <c r="E37" i="20" l="1"/>
  <c r="C12" i="28"/>
  <c r="D12" i="28"/>
  <c r="E12" i="28"/>
  <c r="F12" i="28"/>
  <c r="G12" i="28"/>
  <c r="H12" i="28"/>
  <c r="I12" i="28"/>
  <c r="C29" i="28"/>
  <c r="G29" i="28"/>
  <c r="D29" i="28"/>
  <c r="E29" i="28"/>
  <c r="H29" i="28"/>
  <c r="I29" i="28"/>
  <c r="F29" i="28"/>
  <c r="C51" i="28"/>
  <c r="D51" i="28"/>
  <c r="E51" i="28"/>
  <c r="F51" i="28"/>
  <c r="G51" i="28"/>
  <c r="H51" i="28"/>
  <c r="I51" i="28"/>
  <c r="C64" i="28"/>
  <c r="D64" i="28"/>
  <c r="G64" i="28"/>
  <c r="H64" i="28"/>
  <c r="I64" i="28"/>
  <c r="F64" i="28" l="1"/>
  <c r="F66" i="28" s="1"/>
  <c r="E64" i="28"/>
  <c r="E66" i="28" s="1"/>
  <c r="I66" i="28"/>
  <c r="H66" i="28"/>
  <c r="D66" i="28"/>
  <c r="G66" i="28"/>
  <c r="C66" i="28"/>
  <c r="H16" i="19" l="1"/>
  <c r="G16" i="19"/>
  <c r="F16" i="19"/>
  <c r="E16" i="19"/>
  <c r="C16" i="19"/>
  <c r="B16" i="19"/>
  <c r="D16" i="19"/>
  <c r="H11" i="27" l="1"/>
  <c r="H10" i="27"/>
  <c r="H9" i="27"/>
  <c r="H8" i="27"/>
  <c r="H7" i="27"/>
  <c r="H6" i="27"/>
  <c r="H5" i="27"/>
  <c r="H4" i="27"/>
  <c r="B12" i="27" l="1"/>
  <c r="C12" i="27"/>
  <c r="D12" i="27"/>
  <c r="G12" i="27"/>
  <c r="B24" i="23" l="1"/>
  <c r="B23" i="23"/>
  <c r="B22" i="23"/>
  <c r="B21" i="23"/>
  <c r="B20" i="23"/>
  <c r="B11" i="23"/>
  <c r="C11" i="23"/>
  <c r="D11" i="23"/>
  <c r="E11" i="23"/>
  <c r="F11" i="23"/>
  <c r="G11" i="23"/>
  <c r="H11" i="23"/>
  <c r="I8" i="16" l="1"/>
  <c r="G8" i="16"/>
  <c r="F8" i="16"/>
  <c r="E8" i="16"/>
  <c r="D8" i="16"/>
  <c r="C8" i="16"/>
  <c r="B8" i="16"/>
  <c r="I5" i="16"/>
  <c r="H23" i="15" l="1"/>
  <c r="G23" i="15"/>
  <c r="F23" i="15"/>
  <c r="E23" i="15"/>
  <c r="D23" i="15"/>
  <c r="C23" i="15"/>
  <c r="B23" i="15"/>
  <c r="H22" i="15"/>
  <c r="G22" i="15"/>
  <c r="F22" i="15"/>
  <c r="E22" i="15"/>
  <c r="D22" i="15"/>
  <c r="C22" i="15"/>
  <c r="B22" i="15"/>
  <c r="H21" i="15"/>
  <c r="B35" i="15" s="1"/>
  <c r="G21" i="15"/>
  <c r="F21" i="15"/>
  <c r="E21" i="15"/>
  <c r="D21" i="15"/>
  <c r="C21" i="15"/>
  <c r="B21" i="15"/>
  <c r="H20" i="15"/>
  <c r="B34" i="15" s="1"/>
  <c r="G20" i="15"/>
  <c r="F20" i="15"/>
  <c r="E20" i="15"/>
  <c r="D20" i="15"/>
  <c r="C20" i="15"/>
  <c r="B20" i="15"/>
  <c r="H19" i="15"/>
  <c r="B33" i="15" s="1"/>
  <c r="G19" i="15"/>
  <c r="F19" i="15"/>
  <c r="E19" i="15"/>
  <c r="D19" i="15"/>
  <c r="C19" i="15"/>
  <c r="B19" i="15"/>
  <c r="H18" i="15"/>
  <c r="B32" i="15" s="1"/>
  <c r="G18" i="15"/>
  <c r="F18" i="15"/>
  <c r="E18" i="15"/>
  <c r="D18" i="15"/>
  <c r="C18" i="15"/>
  <c r="B18" i="15"/>
  <c r="A27" i="23" l="1"/>
  <c r="A24" i="19"/>
  <c r="B21" i="24"/>
  <c r="B9" i="21"/>
  <c r="AH9" i="21"/>
  <c r="B20" i="17" l="1"/>
  <c r="C20" i="17"/>
  <c r="E20" i="17"/>
  <c r="F20" i="17"/>
  <c r="D20" i="17" l="1"/>
  <c r="H20" i="17" s="1"/>
  <c r="G20" i="17"/>
  <c r="G5" i="16"/>
  <c r="B5" i="16"/>
  <c r="C5" i="16"/>
  <c r="D5" i="16"/>
  <c r="E5" i="16"/>
  <c r="F5" i="16"/>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4_CostsByLocation!$A$3:$E$9" type="102" refreshedVersion="5" minRefreshableVersion="5">
    <extLst>
      <ext xmlns:x15="http://schemas.microsoft.com/office/spreadsheetml/2010/11/main" uri="{DE250136-89BD-433C-8126-D09CA5730AF9}">
        <x15:connection id="Range-5170fc5c-6da7-4755-86ea-689762ede593">
          <x15:rangePr sourceName="_xlcn.WorksheetConnection_4_CostsByLocationA3E91"/>
        </x15:connection>
      </ext>
    </extLst>
  </connection>
</connections>
</file>

<file path=xl/sharedStrings.xml><?xml version="1.0" encoding="utf-8"?>
<sst xmlns="http://schemas.openxmlformats.org/spreadsheetml/2006/main" count="400" uniqueCount="313">
  <si>
    <t>2) Program Support includes includes contracts that contain only administrative work elements or program level spending that could not be mapped to a specific project, as well as BPA internal overhead such as personnel costs.</t>
  </si>
  <si>
    <t xml:space="preserve">1) Starting in 2008, Spending can be tracked back to a work element where the contractor explicitly identified the "Primary Focal Species" benefiting from the work.  </t>
  </si>
  <si>
    <t>Notes:</t>
  </si>
  <si>
    <t>TOTAL</t>
  </si>
  <si>
    <t>CJH Cost Share</t>
  </si>
  <si>
    <t>Program Support</t>
  </si>
  <si>
    <t>Wildlife</t>
  </si>
  <si>
    <t>Resident Fish</t>
  </si>
  <si>
    <t>Anadromous Fish</t>
  </si>
  <si>
    <t>Capital Expenditures</t>
  </si>
  <si>
    <t>Expense Expenditures</t>
  </si>
  <si>
    <t>Species type</t>
  </si>
  <si>
    <t>Capital</t>
  </si>
  <si>
    <t>Expense</t>
  </si>
  <si>
    <t>Category</t>
  </si>
  <si>
    <t>2) Contract Administration spending can be tracked back to a work element that did not require the contractor to identify the "Primary Focal Species" benefiting from the work.</t>
  </si>
  <si>
    <t>Trout, Bull (threatened)</t>
  </si>
  <si>
    <t>Sturgeon, White - Kootenai River DPS (endangered)</t>
  </si>
  <si>
    <t>Cutthroat Trout, Lahontan (threatened)</t>
  </si>
  <si>
    <t>Chub, Oregon (endangered)</t>
  </si>
  <si>
    <t>Steelhead - Upper Willamette River DPS (threatened)</t>
  </si>
  <si>
    <t>Steelhead - Snake River DPS (threatened)</t>
  </si>
  <si>
    <t>Steelhead - Middle Columbia River DPS (threatened)</t>
  </si>
  <si>
    <t>Steelhead - Lower Columbia River DPS (threatened)</t>
  </si>
  <si>
    <t>Sockeye - Snake River ESU (endangered)</t>
  </si>
  <si>
    <t>Coho - Lower Columbia River ESU (threatened)</t>
  </si>
  <si>
    <t>Chum - Columbia River ESU (threatened)</t>
  </si>
  <si>
    <t>Chinook - Upper Willamette River ESU (threatened)</t>
  </si>
  <si>
    <t>Chinook - Upper Columbia River Spring ESU (endangered)</t>
  </si>
  <si>
    <t>Chinook - Snake River Spring/Summer ESU (threatened)</t>
  </si>
  <si>
    <t>Chinook - Snake River Fall ESU (threatened)</t>
  </si>
  <si>
    <t>Chinook - Lower Columbia River ESU (threatened)</t>
  </si>
  <si>
    <t>Total Spending</t>
  </si>
  <si>
    <t>Capital Total Spending</t>
  </si>
  <si>
    <t>Capital "Contract Administration" Spending</t>
  </si>
  <si>
    <t>Capital "Direct" Spending</t>
  </si>
  <si>
    <t>Expense Total Spending</t>
  </si>
  <si>
    <t>Expense "Contract Administration" Spending</t>
  </si>
  <si>
    <t>Expense "Direct" Spending</t>
  </si>
  <si>
    <t>ESA Listed Focal Species Name</t>
  </si>
  <si>
    <t>Total</t>
  </si>
  <si>
    <t>Predator Removal</t>
  </si>
  <si>
    <t>Law Enforcement</t>
  </si>
  <si>
    <t>Harvest Augmentation</t>
  </si>
  <si>
    <t>Data Management</t>
  </si>
  <si>
    <t>Programmatic</t>
  </si>
  <si>
    <t>Predation</t>
  </si>
  <si>
    <t>Hydrosystem</t>
  </si>
  <si>
    <t>Harvest</t>
  </si>
  <si>
    <t>Habitat</t>
  </si>
  <si>
    <t>Artificial Production</t>
  </si>
  <si>
    <t>3) Program Support/Admin/Other includes spending that cannot be traced back to a contract that has at least one work element requiring location; contracts without any work elements at all; program level spending not mapped to a specific project; and BPA Overhead.</t>
  </si>
  <si>
    <t>2) Other includes "Undetermined" locations such as Ocean, Canada; and provinces not recognized by NPCC.</t>
  </si>
  <si>
    <t>1) Starting in 2008, spending by province is tracked in Pisces based on where the contractor explicitly identified work location.</t>
  </si>
  <si>
    <t>Province</t>
  </si>
  <si>
    <t>Other</t>
  </si>
  <si>
    <t>Project Proponent(s)</t>
  </si>
  <si>
    <t>City of Eugene</t>
  </si>
  <si>
    <t>Columbia Land Trust</t>
  </si>
  <si>
    <t>Colville Confederated Tribes</t>
  </si>
  <si>
    <t>Confederated Tribes of the Grande Ronde</t>
  </si>
  <si>
    <t>Greenbelt Land Trust</t>
  </si>
  <si>
    <t>Idaho Department of Fish and Game (IDFG)</t>
  </si>
  <si>
    <t>Idaho Office of Species Conservation</t>
  </si>
  <si>
    <t>Kittitas Conservation Trust</t>
  </si>
  <si>
    <t>Lower Columbia River Estuary Partnership (LCREP)</t>
  </si>
  <si>
    <t>Methow Salmon Recovery Foundation</t>
  </si>
  <si>
    <t>National Fish and Wildlife Foundation</t>
  </si>
  <si>
    <t>Nature Conservancy</t>
  </si>
  <si>
    <t>Nez Perce Tribe</t>
  </si>
  <si>
    <t>Oregon Watershed Enhancement Board</t>
  </si>
  <si>
    <t>S Central Washington Resource Conservation and Development</t>
  </si>
  <si>
    <t>Salish and Kootenai Confederated Tribes</t>
  </si>
  <si>
    <t>Shoshone-Bannock Tribes</t>
  </si>
  <si>
    <t>Shoshone-Paiute Tribes</t>
  </si>
  <si>
    <t>Umatilla Confederated Tribes (CTUIR)</t>
  </si>
  <si>
    <t>US Fish and Wildlife Service (USFWS)</t>
  </si>
  <si>
    <t>Willamalane Parks and Recreation District</t>
  </si>
  <si>
    <t>Yakama Confederated Tribes</t>
  </si>
  <si>
    <t>Yamhill Soil and Water Conservation District</t>
  </si>
  <si>
    <t>Ducks Unlimited</t>
  </si>
  <si>
    <t>City of Salem</t>
  </si>
  <si>
    <t>McKenzie River Trust</t>
  </si>
  <si>
    <t>Fixed Expenses</t>
  </si>
  <si>
    <t>Direct Program</t>
  </si>
  <si>
    <t>Reimbursable Expenses</t>
  </si>
  <si>
    <t>Forgone Revenues</t>
  </si>
  <si>
    <t>Power Purchases</t>
  </si>
  <si>
    <t>1978-80</t>
  </si>
  <si>
    <r>
      <t>Program Support</t>
    </r>
    <r>
      <rPr>
        <vertAlign val="superscript"/>
        <sz val="12"/>
        <rFont val="Century Gothic"/>
        <family val="2"/>
      </rPr>
      <t xml:space="preserve"> 2</t>
    </r>
  </si>
  <si>
    <t>COPY THIS TABLE TO INDESIGN (sums above rows)</t>
  </si>
  <si>
    <t>(Use this in InDesign footnote, total capital expense for final year)</t>
  </si>
  <si>
    <t>(remove footnote marks from graph X-axis labels)</t>
  </si>
  <si>
    <t>3) Negative values for Capital Spending are a result of overaccruing costs in the previous year.</t>
  </si>
  <si>
    <t>2)  Spending is estimated based on the % of funding towards a project.  For example, if a project budget is 70% BiOp and 30% General, the project expenditures will be prorated 70% towards BiOp and 30% General.</t>
  </si>
  <si>
    <t>1)  BiOp tracking at fund level began in 2009, Accords began in 2008.</t>
  </si>
  <si>
    <t>TOTAL PROGRAM</t>
  </si>
  <si>
    <t>Total BPA Overhead</t>
  </si>
  <si>
    <t>Total General</t>
  </si>
  <si>
    <t>Total Accords - BiOp</t>
  </si>
  <si>
    <r>
      <t>Total Accords</t>
    </r>
    <r>
      <rPr>
        <vertAlign val="superscript"/>
        <sz val="12"/>
        <rFont val="Century Gothic"/>
        <family val="2"/>
      </rPr>
      <t>1</t>
    </r>
  </si>
  <si>
    <t>Total BiOp (non Accord)</t>
  </si>
  <si>
    <t>FUND</t>
  </si>
  <si>
    <t>Accords - BiOp</t>
  </si>
  <si>
    <t>Accords - non-BiOp</t>
  </si>
  <si>
    <t>Figure subtitle (range named "subtitle" because it's used on many figures)</t>
  </si>
  <si>
    <t>Figure subtitle:</t>
  </si>
  <si>
    <t>Subtitle:</t>
  </si>
  <si>
    <r>
      <t xml:space="preserve">2) Estimated spending is based at the </t>
    </r>
    <r>
      <rPr>
        <u/>
        <sz val="12"/>
        <rFont val="Century Gothic"/>
        <family val="2"/>
      </rPr>
      <t>project level</t>
    </r>
    <r>
      <rPr>
        <sz val="12"/>
        <rFont val="Century Gothic"/>
        <family val="2"/>
      </rPr>
      <t>.  Therefore if a project is assigned an emphasis of Habitat, but also does RME, all expenditures for the project are included under Habitat.</t>
    </r>
  </si>
  <si>
    <t>Research, Monitoring and Evaluation</t>
  </si>
  <si>
    <t>Production (Supplementation)</t>
  </si>
  <si>
    <t>for graph</t>
  </si>
  <si>
    <t>Grand Total</t>
  </si>
  <si>
    <t>Ocean</t>
  </si>
  <si>
    <t>1) Starting in 2008, spending by state is tracked in Pisces based on where the contractor explicitly identified work location.</t>
  </si>
  <si>
    <r>
      <t xml:space="preserve">Program Support/Admin/Overhead/Other </t>
    </r>
    <r>
      <rPr>
        <vertAlign val="superscript"/>
        <sz val="12"/>
        <color theme="1"/>
        <rFont val="Century Gothic"/>
        <family val="2"/>
      </rPr>
      <t>2</t>
    </r>
  </si>
  <si>
    <t>Nevada</t>
  </si>
  <si>
    <t>British Columbia</t>
  </si>
  <si>
    <t>Montana</t>
  </si>
  <si>
    <t>Oregon</t>
  </si>
  <si>
    <t>Idaho</t>
  </si>
  <si>
    <t>Washington</t>
  </si>
  <si>
    <t>STATE</t>
  </si>
  <si>
    <t>Format for pie, and remove Systemwide</t>
  </si>
  <si>
    <t>2)  Starting in FY13, land acquisition values may include stewardship costs for long-term operations and maintenance (O&amp;M).</t>
  </si>
  <si>
    <t>1)  Values above include accruals.</t>
  </si>
  <si>
    <t>NOTES:</t>
  </si>
  <si>
    <t>GRAND TOTAL</t>
  </si>
  <si>
    <t>OTHER TOTAL</t>
  </si>
  <si>
    <t>CHIEF JOSEPH HATCHERY COST SHARE (GRANT PUD)</t>
  </si>
  <si>
    <t>NATIONAL FISH &amp; WILDLIFE FOUNDATION</t>
  </si>
  <si>
    <t>UTILITY</t>
  </si>
  <si>
    <r>
      <t>LAND ACQUISITIONS</t>
    </r>
    <r>
      <rPr>
        <vertAlign val="superscript"/>
        <sz val="11"/>
        <rFont val="Century Gothic"/>
        <family val="2"/>
      </rPr>
      <t>2</t>
    </r>
  </si>
  <si>
    <t>COLUMBIA BASIN FISH &amp; WILDLIFE AUTHORITY</t>
  </si>
  <si>
    <t>LOCAL/SEMI GOVERNMENT</t>
  </si>
  <si>
    <t>PRIVATE/NON-PROFIT/OTHER</t>
  </si>
  <si>
    <t>OTHER</t>
  </si>
  <si>
    <t>UNIVERSITY</t>
  </si>
  <si>
    <t>PACIFIC STATES MARINE FISHERIES COMMISSION (PSMFC)</t>
  </si>
  <si>
    <t>INTERSTATE COMPACT</t>
  </si>
  <si>
    <t>TRIBE TOTAL</t>
  </si>
  <si>
    <t>YAKAMA CONFEDERATED TRIBES</t>
  </si>
  <si>
    <t>UPPER SNAKE RIVER TRIBES FOUNDATION</t>
  </si>
  <si>
    <t>UPPER COLUMBIA UNITED TRIBES (UCUT)</t>
  </si>
  <si>
    <t>UMATILLA CONFEDERATED TRIBES</t>
  </si>
  <si>
    <t>SPOKANE TRIBE OF INDIANS</t>
  </si>
  <si>
    <t>SHOSHONE-PAUITE TRIBES</t>
  </si>
  <si>
    <t>SHOSHONE-BANNOCK TRIBES</t>
  </si>
  <si>
    <t>SALISH AND KOOTENAI TRIBES CONFEDERATED TRIBES</t>
  </si>
  <si>
    <t>NEZ PERCE TRIBE</t>
  </si>
  <si>
    <t>KOOTENAI TRIBE</t>
  </si>
  <si>
    <t>KALISPEL TRIBE OF INDIANS</t>
  </si>
  <si>
    <t>COWLITZ INDIAN TRIBE</t>
  </si>
  <si>
    <t>CONFEDERATED TRIBES OF WARM SPRINGS</t>
  </si>
  <si>
    <t>CONFEDERATED TRIBES OF SILETZ INDIANS</t>
  </si>
  <si>
    <t>CONFEDERATED TRIBES OF GRAND RONDE</t>
  </si>
  <si>
    <t>COLVILLE CONFEDERATED TRIBES</t>
  </si>
  <si>
    <t>COLUMBIA RIVER INTERTRIBAL FISH COMMISSION</t>
  </si>
  <si>
    <t>COEUR D'ALENE TRIBE OF IDAHO</t>
  </si>
  <si>
    <t>BURNS PAIUTE TRIBE</t>
  </si>
  <si>
    <t>TRIBE</t>
  </si>
  <si>
    <t>STATE TOTAL</t>
  </si>
  <si>
    <t>MONTANA Subtotal</t>
  </si>
  <si>
    <t>MONTANA FISH, WILDLIFE AND PARKS (MFWP)</t>
  </si>
  <si>
    <t>WASHINGTON Subtotal</t>
  </si>
  <si>
    <t>WASHINGTON DEPARTMENT OF ECOLOGY</t>
  </si>
  <si>
    <t>WASHINGTON DEPARTMENT OF FISH &amp; WILDLIFE</t>
  </si>
  <si>
    <t>IDAHO Subtotal</t>
  </si>
  <si>
    <t>IDAHO STATE OFFICE OF SPECIES CONSERVATION</t>
  </si>
  <si>
    <t>IDAHO SOIL &amp; WATER CONSERVATION COMMISSION</t>
  </si>
  <si>
    <t>IDAHO DEPARTMENT OF FISH &amp; WILDLIFE</t>
  </si>
  <si>
    <t>OREGON Subtotal</t>
  </si>
  <si>
    <t>OREGON WATERSHED ENHANCEMENT BOARD</t>
  </si>
  <si>
    <t>OREGON DEPARTMENT OF FISH &amp; WILDLIFE</t>
  </si>
  <si>
    <t>FEDERAL TOTAL</t>
  </si>
  <si>
    <t>US GEOLOGICAL SURVEY (USGS)</t>
  </si>
  <si>
    <t>US FOREST SERVICE (USFS)</t>
  </si>
  <si>
    <t>US ARMY CORP OF ENGINEERS (COE)</t>
  </si>
  <si>
    <t>US BUREAU OF RECLAMATION (BOR)</t>
  </si>
  <si>
    <t>US FISH &amp; WILDLIFE SERVICE (USFWS)</t>
  </si>
  <si>
    <t>BPA OVERHEAD (&amp; NON-CONTRACTED PROJECT COSTS)</t>
  </si>
  <si>
    <t>NATIONAL MARINE FISHERIES (NOAA)</t>
  </si>
  <si>
    <t>FEDERAL</t>
  </si>
  <si>
    <t>Prime Contractor</t>
  </si>
  <si>
    <t>Contractor Type</t>
  </si>
  <si>
    <t>FOR CHART:</t>
  </si>
  <si>
    <t>Copy rows from above, then manually sort each section largest-to-smallest, sum all the smallest into "other"</t>
  </si>
  <si>
    <t>Federal</t>
  </si>
  <si>
    <t>State</t>
  </si>
  <si>
    <t>Tribe</t>
  </si>
  <si>
    <t>Interstate</t>
  </si>
  <si>
    <t>University</t>
  </si>
  <si>
    <t>Federal: BPA Overhead (&amp; Non-Contracted Project Costs)</t>
  </si>
  <si>
    <t>Federal: National Marine Fisheries</t>
  </si>
  <si>
    <t>Federal: US Fish &amp; Wildlife Service</t>
  </si>
  <si>
    <t>Federal: US Geological Survey</t>
  </si>
  <si>
    <t>Federal: Other</t>
  </si>
  <si>
    <t>State: Oregon Department of Fish &amp; Wildlife</t>
  </si>
  <si>
    <t>State: Idaho Department of Fish &amp; Wildlife</t>
  </si>
  <si>
    <t>State: Washington Department of Fish &amp; Wildlife</t>
  </si>
  <si>
    <t>State: Montana Fish, Wildlife And Parks</t>
  </si>
  <si>
    <t>State: Idaho State Office of Species Conservation</t>
  </si>
  <si>
    <t>Tribe: Yakama Confederated Tribes</t>
  </si>
  <si>
    <t>Tribe: Kootenai Tribe</t>
  </si>
  <si>
    <t>Tribe: Nez Perce Tribe</t>
  </si>
  <si>
    <t>Tribe: Colville Confederated Tribes</t>
  </si>
  <si>
    <t>Tribe: Umatilla Confederated Tribes</t>
  </si>
  <si>
    <t>Tribe: Columbia River Intertribal Fish Commission</t>
  </si>
  <si>
    <t>Tribe: Confederated Tribes of Warm Springs</t>
  </si>
  <si>
    <t>Tribe: Shoshone-Bannock Tribes</t>
  </si>
  <si>
    <t>Tribe: Spokane Tribe of Indians</t>
  </si>
  <si>
    <t>Tribe: Kalispel Tribe of Indians</t>
  </si>
  <si>
    <t>Tribe: Coeur D'Alene Tribe of Idaho</t>
  </si>
  <si>
    <t>Tribe: Other</t>
  </si>
  <si>
    <t>Interstate: Pacific States Marine Fisheries Commission</t>
  </si>
  <si>
    <t>Other: Private/Non-Profit/Other</t>
  </si>
  <si>
    <t>Other: Land Acquisitions</t>
  </si>
  <si>
    <t>Other: Local/Semi Government</t>
  </si>
  <si>
    <t>Other: National Fish &amp; Wildlife Foundation</t>
  </si>
  <si>
    <t>Montana Fish, Wildlife and Parks (MFWP)</t>
  </si>
  <si>
    <t>Oregon Department Of Fish and Wildlife (ODFW)</t>
  </si>
  <si>
    <t>Washington Department of Fish and Wildlife (WDFW)</t>
  </si>
  <si>
    <t>1) Values above include bank fees, permits, etc.</t>
  </si>
  <si>
    <t>2) Starting in FY13, land acquisition values may include stewardship costs for long-term operations and maintenance (O&amp;M).</t>
  </si>
  <si>
    <t>Notes</t>
  </si>
  <si>
    <t>For chart, copy from above, sort largest to smallest</t>
  </si>
  <si>
    <t>Direct F&amp;W Program</t>
  </si>
  <si>
    <t>Lower Snake Comp Plan</t>
  </si>
  <si>
    <t>Corps of Engineers O&amp;M (est.)</t>
  </si>
  <si>
    <t>Bureau of Reclamation O&amp;M (est.)</t>
  </si>
  <si>
    <t>NW Power &amp; Conservation Council</t>
  </si>
  <si>
    <t>Interest Expense (est.)</t>
  </si>
  <si>
    <t>Amoritization/Depreciation (est.)</t>
  </si>
  <si>
    <t>Power Purchases for Fish Enhancement (est.)</t>
  </si>
  <si>
    <t>Program Support 2</t>
  </si>
  <si>
    <t>Table 3: Direct Program Expenditures of FCRPS BiOp Projects</t>
  </si>
  <si>
    <t>1) Estimated spending is based at the project level.  Therefore, if a project partially supports the FCRPS BiOp, all expenditures for the project are included.</t>
  </si>
  <si>
    <t>Table 2: Direct Program Expenditures by Types of Species</t>
  </si>
  <si>
    <t xml:space="preserve">FIGURE 2. </t>
  </si>
  <si>
    <t>2014 2</t>
  </si>
  <si>
    <t>1) Direct spending can be tracked back to a work element where the contractor explicitely identified the "Primary Focal Species" benefiting from the work.</t>
  </si>
  <si>
    <t>4) Revised on March 17, 2016</t>
  </si>
  <si>
    <t>Total BiOp (non-Accord)</t>
  </si>
  <si>
    <t>Total Accords - Non-BiOp</t>
  </si>
  <si>
    <t>Coordination (Local/Regional)</t>
  </si>
  <si>
    <t>Coordination (BPA Overhead) 3</t>
  </si>
  <si>
    <t>Habitat (Restoration/Protection)</t>
  </si>
  <si>
    <t xml:space="preserve">1) BPA’s database identifies projects by their “Purpose” (general goal) and “Emphasis” (primary type of work, e.g., habitat restoration.) BPA does not track its project management overhead against individual projects or contracts, so there is no easy or accurate way to allocate BPA overhead to specific purposes or emphases.  Thus, in the above  report, BPA includes its staffing to manage the 600-plus contracts in its fish and wildlife program in the category identified as Coordination (BPA Overhead), and its direct technical services contracts for Data Management and RM&amp;E in those respective categories.  </t>
  </si>
  <si>
    <t>3) Starting in Fiscal Year 2015 (and revised for FY2014), Costs by Category will now separate Coordination costs between Regional/Local Coordination and BPA Overhead.</t>
  </si>
  <si>
    <t>Estimated spending is based at the project level.  Therefore if a project is labeled Artificial Production, but also supports Habitat, the expenditures are counted as Artificial Production.</t>
  </si>
  <si>
    <t>Table/Figure 7: Direct Program Expenditures for Research, Monitoring and Evaluation (RM&amp;E), FY2015</t>
  </si>
  <si>
    <t>BLUE MOUNTAIN</t>
  </si>
  <si>
    <t>COLUMBIA CASCADE</t>
  </si>
  <si>
    <t>COLUMBIA GORGE</t>
  </si>
  <si>
    <t>COLUMBIA PLATEAU</t>
  </si>
  <si>
    <t>COLUMBIA ESTUARY</t>
  </si>
  <si>
    <t>INTERMOUNTAIN</t>
  </si>
  <si>
    <t>LOWER COLUMBIA</t>
  </si>
  <si>
    <t>MIDDLE SNAKE</t>
  </si>
  <si>
    <t>MOUNTAIN COLUMBIA</t>
  </si>
  <si>
    <t>MOUNTAIN SNAKE</t>
  </si>
  <si>
    <t>UPPER SNAKE</t>
  </si>
  <si>
    <r>
      <t>OTHER</t>
    </r>
    <r>
      <rPr>
        <vertAlign val="superscript"/>
        <sz val="11"/>
        <rFont val="Century Gothic"/>
        <family val="2"/>
      </rPr>
      <t xml:space="preserve"> 2</t>
    </r>
  </si>
  <si>
    <r>
      <t>PROGRAM SUPPORT/ADMIN/ OVERHEAD/OTHER</t>
    </r>
    <r>
      <rPr>
        <vertAlign val="superscript"/>
        <sz val="11"/>
        <rFont val="Century Gothic"/>
        <family val="2"/>
      </rPr>
      <t xml:space="preserve"> 3</t>
    </r>
  </si>
  <si>
    <t>Compiles program spending by work element location</t>
  </si>
  <si>
    <t>Table/Figure 9: Direct Program Expenditures by State, FY2015</t>
  </si>
  <si>
    <t>2) Program Support/Admin/Other includes spending that cannot be traced back to a contract that has at least one work element requiring location; contracts without any work elements; program level spending not mapped to a specific project or NPCC province; and BPA Overhead.</t>
  </si>
  <si>
    <t>Table/Figure 10: Direct Program Expenditures by Contractor Type, FY2015</t>
  </si>
  <si>
    <t>Friends of Buford Park</t>
  </si>
  <si>
    <t>Confederated Tribes of the Warm Springs</t>
  </si>
  <si>
    <t>Blue Mountain Land Trust</t>
  </si>
  <si>
    <t>Totals</t>
  </si>
  <si>
    <t>Tribe: Shoshone-Paiute Tribes</t>
  </si>
  <si>
    <t>Tribe: Burns-Paiute</t>
  </si>
  <si>
    <t>for graph (footnote marks removed)</t>
  </si>
  <si>
    <t>Coordination (BPA Overhead)</t>
  </si>
  <si>
    <t>Steelhead - Upper Columbia River DPS (threatened)</t>
  </si>
  <si>
    <t>Direct Program (non-cumulative)</t>
  </si>
  <si>
    <t>BPA Power Business Line Costs, FY 2016</t>
  </si>
  <si>
    <r>
      <t xml:space="preserve">2015 </t>
    </r>
    <r>
      <rPr>
        <b/>
        <vertAlign val="superscript"/>
        <sz val="12"/>
        <rFont val="Century Gothic"/>
        <family val="2"/>
      </rPr>
      <t>3</t>
    </r>
  </si>
  <si>
    <t>3) FY2015 revised as of March 9, 2017.</t>
  </si>
  <si>
    <t>3) FY2016 revised as of March 9, 2017.</t>
  </si>
  <si>
    <r>
      <t>2015</t>
    </r>
    <r>
      <rPr>
        <b/>
        <vertAlign val="superscript"/>
        <sz val="12"/>
        <rFont val="Century Gothic"/>
        <family val="2"/>
      </rPr>
      <t xml:space="preserve"> 3</t>
    </r>
  </si>
  <si>
    <r>
      <t>2016</t>
    </r>
    <r>
      <rPr>
        <b/>
        <vertAlign val="superscript"/>
        <sz val="12"/>
        <rFont val="Century Gothic"/>
        <family val="2"/>
      </rPr>
      <t xml:space="preserve"> 2</t>
    </r>
  </si>
  <si>
    <t>2) FY2015 reviewed as of March 9, 2017, no changes.</t>
  </si>
  <si>
    <t>3) Passage projects were moved from Capital to Expense funding starting with FY16 contracts.</t>
  </si>
  <si>
    <t>Table 4: Direct Program Expenditures on ESA Listed Fish, 2016</t>
  </si>
  <si>
    <r>
      <t>2015</t>
    </r>
    <r>
      <rPr>
        <b/>
        <vertAlign val="superscript"/>
        <sz val="12"/>
        <rFont val="Century Gothic"/>
        <family val="2"/>
      </rPr>
      <t xml:space="preserve"> 3 </t>
    </r>
  </si>
  <si>
    <t>3)  FY2015 revised as of March 9, 2017.</t>
  </si>
  <si>
    <r>
      <t xml:space="preserve">2015 </t>
    </r>
    <r>
      <rPr>
        <b/>
        <vertAlign val="superscript"/>
        <sz val="12"/>
        <rFont val="Century Gothic"/>
        <family val="2"/>
      </rPr>
      <t>4</t>
    </r>
  </si>
  <si>
    <t>4) FY2015 - Revised as of March 9, 2017.</t>
  </si>
  <si>
    <r>
      <t xml:space="preserve">2015 </t>
    </r>
    <r>
      <rPr>
        <b/>
        <vertAlign val="superscript"/>
        <sz val="11"/>
        <rFont val="Century Gothic"/>
        <family val="2"/>
      </rPr>
      <t>4</t>
    </r>
  </si>
  <si>
    <t>4) FY15 revised as of March 9, 2017.</t>
  </si>
  <si>
    <t>(Figure is a map, plus InDesign text boxes overlaid)</t>
  </si>
  <si>
    <r>
      <t xml:space="preserve">2015 </t>
    </r>
    <r>
      <rPr>
        <b/>
        <vertAlign val="superscript"/>
        <sz val="11"/>
        <rFont val="Century Gothic"/>
        <family val="2"/>
      </rPr>
      <t>3</t>
    </r>
  </si>
  <si>
    <t>PACIFIC NW NATIONAL LABORATORY/DEPT. OF ENERGY</t>
  </si>
  <si>
    <t>FORT McDERMITT TRIBE</t>
  </si>
  <si>
    <t>UNIVERSITIES</t>
  </si>
  <si>
    <t>3)  FY2015 reviewed as of March 10, 2017, no changes.</t>
  </si>
  <si>
    <t>Federal: US Army Corps of Engineers</t>
  </si>
  <si>
    <t>Federal: US Forest Service</t>
  </si>
  <si>
    <t>Other: Utility</t>
  </si>
  <si>
    <t>Coeur D'Alene Tribe, Idaho Department of Fish and Game, Kalispel Tribe, Kootenai Tribe</t>
  </si>
  <si>
    <t>3) FY2015 - No changes as of March 09, 2017.</t>
  </si>
  <si>
    <t>Table/Figure 12: Cumulative Costs 1978-2016, by Major Spending Area</t>
  </si>
  <si>
    <t>RM and E</t>
  </si>
  <si>
    <t>Supplementation</t>
  </si>
  <si>
    <t>1) Estimated spending is based at the project level.  Therefore if a project is assigned an emphasis of Habitat, but also does RME, all expenditures for the project are included under Habitat.</t>
  </si>
  <si>
    <t>2) FY2015 reviewed on 3/9/2017, no changes.</t>
  </si>
  <si>
    <t>Table 6A: Direct Program Expenditures by Category, FY2015</t>
  </si>
  <si>
    <t>Table 6B: Direct Program Expenditures for Artificial Production, FY2016</t>
  </si>
  <si>
    <t>Table/Figure 1A: Fish &amp; Wildlife Costs Comprise 22% of Total Power Services Costs</t>
  </si>
  <si>
    <t>Forgone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</si>
</sst>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quot;million&quot;"/>
    <numFmt numFmtId="167" formatCode="_(&quot;$&quot;* #,##0_);_(&quot;$&quot;* \(#,##0\);_(&quot;$&quot;* &quot;-&quot;??_);_(@_)"/>
    <numFmt numFmtId="168" formatCode="&quot;$&quot;#,,\ &quot;million&quot;"/>
    <numFmt numFmtId="169" formatCode="&quot;$&quot;#,##0.0"/>
    <numFmt numFmtId="170" formatCode="&quot;$&quot;#.0,,\ &quot;million&quot;"/>
    <numFmt numFmtId="171" formatCode="_(* #,##0.0_);_(* \(#,##0.0\);_(* &quot;-&quot;??_);_(@_)"/>
    <numFmt numFmtId="172" formatCode="_(* #,##0_);_(* \(#,##0\);_(* &quot;-&quot;??_);_(@_)"/>
  </numFmts>
  <fonts count="37" x14ac:knownFonts="1">
    <font>
      <sz val="10"/>
      <name val="Helv"/>
    </font>
    <font>
      <sz val="10"/>
      <name val="Helv"/>
    </font>
    <font>
      <sz val="10"/>
      <name val="Arial"/>
      <family val="2"/>
    </font>
    <font>
      <sz val="8"/>
      <name val="Arial"/>
      <family val="2"/>
    </font>
    <font>
      <sz val="12"/>
      <name val="Century Gothic"/>
      <family val="2"/>
    </font>
    <font>
      <sz val="12"/>
      <name val="Times New Roman"/>
      <family val="1"/>
    </font>
    <font>
      <b/>
      <sz val="10"/>
      <name val="Arial"/>
      <family val="2"/>
    </font>
    <font>
      <b/>
      <sz val="12"/>
      <name val="Century Gothic"/>
      <family val="2"/>
    </font>
    <font>
      <sz val="10"/>
      <name val="Arial"/>
      <family val="2"/>
    </font>
    <font>
      <b/>
      <i/>
      <sz val="12"/>
      <name val="Century Gothic"/>
      <family val="2"/>
    </font>
    <font>
      <b/>
      <vertAlign val="superscript"/>
      <sz val="12"/>
      <name val="Century Gothic"/>
      <family val="2"/>
    </font>
    <font>
      <sz val="10"/>
      <name val="Arial Unicode MS"/>
      <family val="2"/>
    </font>
    <font>
      <sz val="11"/>
      <color theme="1"/>
      <name val="Calibri"/>
      <family val="2"/>
      <scheme val="minor"/>
    </font>
    <font>
      <sz val="11"/>
      <color theme="1"/>
      <name val="Century Gothic"/>
      <family val="2"/>
    </font>
    <font>
      <b/>
      <sz val="11"/>
      <color theme="1"/>
      <name val="Century Gothic"/>
      <family val="2"/>
    </font>
    <font>
      <i/>
      <sz val="11"/>
      <color theme="1"/>
      <name val="Century Gothic"/>
      <family val="2"/>
    </font>
    <font>
      <b/>
      <i/>
      <sz val="11"/>
      <color theme="1"/>
      <name val="Century Gothic"/>
      <family val="2"/>
    </font>
    <font>
      <b/>
      <sz val="14"/>
      <color theme="1"/>
      <name val="Century Gothic"/>
      <family val="2"/>
    </font>
    <font>
      <sz val="11"/>
      <name val="Century Gothic"/>
      <family val="2"/>
    </font>
    <font>
      <b/>
      <sz val="11"/>
      <name val="Century Gothic"/>
      <family val="2"/>
    </font>
    <font>
      <b/>
      <i/>
      <sz val="11"/>
      <name val="Century Gothic"/>
      <family val="2"/>
    </font>
    <font>
      <vertAlign val="superscript"/>
      <sz val="12"/>
      <name val="Century Gothic"/>
      <family val="2"/>
    </font>
    <font>
      <b/>
      <sz val="12"/>
      <color rgb="FFFF0000"/>
      <name val="Century Gothic"/>
      <family val="2"/>
    </font>
    <font>
      <sz val="10"/>
      <color rgb="FFFF0000"/>
      <name val="Arial"/>
      <family val="2"/>
    </font>
    <font>
      <sz val="12"/>
      <color rgb="FFFF0000"/>
      <name val="Century Gothic"/>
      <family val="2"/>
    </font>
    <font>
      <sz val="9"/>
      <name val="Arial"/>
      <family val="2"/>
    </font>
    <font>
      <u/>
      <sz val="12"/>
      <name val="Century Gothic"/>
      <family val="2"/>
    </font>
    <font>
      <b/>
      <sz val="8"/>
      <name val="Arial"/>
      <family val="2"/>
    </font>
    <font>
      <b/>
      <sz val="12"/>
      <color theme="1"/>
      <name val="Century Gothic"/>
      <family val="2"/>
    </font>
    <font>
      <sz val="12"/>
      <color theme="1"/>
      <name val="Century Gothic"/>
      <family val="2"/>
    </font>
    <font>
      <vertAlign val="superscript"/>
      <sz val="12"/>
      <color theme="1"/>
      <name val="Century Gothic"/>
      <family val="2"/>
    </font>
    <font>
      <b/>
      <vertAlign val="superscript"/>
      <sz val="11"/>
      <name val="Century Gothic"/>
      <family val="2"/>
    </font>
    <font>
      <vertAlign val="superscript"/>
      <sz val="11"/>
      <name val="Century Gothic"/>
      <family val="2"/>
    </font>
    <font>
      <b/>
      <sz val="14"/>
      <name val="Century Gothic"/>
      <family val="2"/>
    </font>
    <font>
      <sz val="10"/>
      <name val="Arial"/>
      <family val="2"/>
    </font>
    <font>
      <sz val="10"/>
      <name val="Century Gothic"/>
      <family val="2"/>
    </font>
    <font>
      <b/>
      <sz val="10"/>
      <name val="Century Gothic"/>
      <family val="2"/>
    </font>
  </fonts>
  <fills count="10">
    <fill>
      <patternFill patternType="none"/>
    </fill>
    <fill>
      <patternFill patternType="gray125"/>
    </fill>
    <fill>
      <patternFill patternType="solid">
        <fgColor rgb="FFFFFFCC"/>
      </patternFill>
    </fill>
    <fill>
      <patternFill patternType="solid">
        <fgColor theme="6"/>
        <bgColor indexed="64"/>
      </patternFill>
    </fill>
    <fill>
      <patternFill patternType="solid">
        <fgColor theme="6" tint="0.39997558519241921"/>
        <bgColor indexed="64"/>
      </patternFill>
    </fill>
    <fill>
      <patternFill patternType="solid">
        <fgColor rgb="FF4BACC6"/>
        <bgColor indexed="64"/>
      </patternFill>
    </fill>
    <fill>
      <patternFill patternType="solid">
        <fgColor rgb="FFC0504D"/>
        <bgColor indexed="64"/>
      </patternFill>
    </fill>
    <fill>
      <patternFill patternType="solid">
        <fgColor rgb="FF9BBB59"/>
        <bgColor indexed="64"/>
      </patternFill>
    </fill>
    <fill>
      <patternFill patternType="solid">
        <fgColor rgb="FF4F81BD"/>
        <bgColor indexed="64"/>
      </patternFill>
    </fill>
    <fill>
      <patternFill patternType="solid">
        <fgColor rgb="FF8064A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18">
    <xf numFmtId="0" fontId="0" fillId="0" borderId="0"/>
    <xf numFmtId="9" fontId="1" fillId="0" borderId="0" applyFont="0" applyFill="0" applyBorder="0" applyAlignment="0" applyProtection="0"/>
    <xf numFmtId="0" fontId="2" fillId="0" borderId="0"/>
    <xf numFmtId="0" fontId="5" fillId="0" borderId="0"/>
    <xf numFmtId="0" fontId="2" fillId="0" borderId="0"/>
    <xf numFmtId="44" fontId="2" fillId="0" borderId="0" applyFont="0" applyFill="0" applyBorder="0" applyAlignment="0" applyProtection="0"/>
    <xf numFmtId="0" fontId="8" fillId="0" borderId="0"/>
    <xf numFmtId="0" fontId="11" fillId="0" borderId="0"/>
    <xf numFmtId="0" fontId="12" fillId="0" borderId="0"/>
    <xf numFmtId="0" fontId="12" fillId="2" borderId="4" applyNumberFormat="0" applyFont="0" applyAlignment="0" applyProtection="0"/>
    <xf numFmtId="0" fontId="8" fillId="0" borderId="0"/>
    <xf numFmtId="44" fontId="8"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12" fillId="0" borderId="0" applyFont="0" applyFill="0" applyBorder="0" applyAlignment="0" applyProtection="0"/>
    <xf numFmtId="0" fontId="34" fillId="0" borderId="0"/>
  </cellStyleXfs>
  <cellXfs count="225">
    <xf numFmtId="0" fontId="0" fillId="0" borderId="0" xfId="0"/>
    <xf numFmtId="0" fontId="3" fillId="0" borderId="0" xfId="2" applyFont="1" applyFill="1"/>
    <xf numFmtId="0" fontId="3" fillId="0" borderId="0" xfId="2" applyFont="1" applyFill="1" applyAlignment="1">
      <alignment horizontal="left"/>
    </xf>
    <xf numFmtId="0" fontId="4" fillId="0" borderId="0" xfId="2" applyFont="1" applyFill="1" applyBorder="1"/>
    <xf numFmtId="0" fontId="4" fillId="0" borderId="0" xfId="2" applyFont="1" applyFill="1" applyBorder="1" applyAlignment="1">
      <alignment horizontal="left"/>
    </xf>
    <xf numFmtId="0" fontId="7" fillId="0" borderId="1" xfId="4" applyFont="1" applyFill="1" applyBorder="1" applyAlignment="1">
      <alignment horizontal="left" wrapText="1"/>
    </xf>
    <xf numFmtId="164" fontId="8" fillId="0" borderId="0" xfId="5" applyNumberFormat="1" applyFont="1" applyBorder="1"/>
    <xf numFmtId="164" fontId="4" fillId="0" borderId="0" xfId="2" applyNumberFormat="1" applyFont="1" applyFill="1" applyBorder="1"/>
    <xf numFmtId="0" fontId="4" fillId="0" borderId="0" xfId="4" applyFont="1" applyFill="1" applyBorder="1" applyAlignment="1">
      <alignment horizontal="right" wrapText="1"/>
    </xf>
    <xf numFmtId="0" fontId="9" fillId="0" borderId="0" xfId="4" applyFont="1" applyFill="1" applyBorder="1" applyAlignment="1">
      <alignment horizontal="left"/>
    </xf>
    <xf numFmtId="0" fontId="4" fillId="0" borderId="0" xfId="4" applyFont="1" applyFill="1" applyBorder="1" applyAlignment="1">
      <alignment horizontal="left" wrapText="1" indent="1"/>
    </xf>
    <xf numFmtId="0" fontId="8" fillId="0" borderId="0" xfId="4" applyFont="1" applyFill="1" applyBorder="1" applyAlignment="1">
      <alignment horizontal="center" wrapText="1"/>
    </xf>
    <xf numFmtId="0" fontId="8" fillId="0" borderId="0" xfId="2" applyFont="1" applyFill="1" applyBorder="1" applyAlignment="1" applyProtection="1">
      <alignment horizontal="center"/>
      <protection locked="0"/>
    </xf>
    <xf numFmtId="0" fontId="7" fillId="3" borderId="0" xfId="4" applyFont="1" applyFill="1" applyBorder="1" applyAlignment="1">
      <alignment horizontal="left" wrapText="1"/>
    </xf>
    <xf numFmtId="0" fontId="8" fillId="0" borderId="0" xfId="6"/>
    <xf numFmtId="0" fontId="4" fillId="0" borderId="0" xfId="6" applyFont="1" applyBorder="1"/>
    <xf numFmtId="0" fontId="7" fillId="0" borderId="0" xfId="6" applyFont="1" applyBorder="1"/>
    <xf numFmtId="0" fontId="6" fillId="0" borderId="0" xfId="6" applyFont="1"/>
    <xf numFmtId="164" fontId="7" fillId="0" borderId="3" xfId="6" applyNumberFormat="1" applyFont="1" applyBorder="1"/>
    <xf numFmtId="164" fontId="7" fillId="0" borderId="2" xfId="6" applyNumberFormat="1" applyFont="1" applyBorder="1"/>
    <xf numFmtId="0" fontId="7" fillId="0" borderId="1" xfId="6" applyFont="1" applyBorder="1"/>
    <xf numFmtId="0" fontId="7" fillId="0" borderId="0" xfId="6" applyFont="1" applyBorder="1" applyAlignment="1">
      <alignment vertical="top"/>
    </xf>
    <xf numFmtId="0" fontId="13" fillId="0" borderId="0" xfId="8" applyFont="1"/>
    <xf numFmtId="0" fontId="14" fillId="0" borderId="0" xfId="8" applyFont="1" applyAlignment="1">
      <alignment horizontal="center"/>
    </xf>
    <xf numFmtId="0" fontId="15" fillId="0" borderId="0" xfId="8" applyFont="1" applyAlignment="1">
      <alignment horizontal="center"/>
    </xf>
    <xf numFmtId="0" fontId="13" fillId="0" borderId="0" xfId="8" applyFont="1" applyAlignment="1">
      <alignment horizontal="center"/>
    </xf>
    <xf numFmtId="0" fontId="14" fillId="0" borderId="0" xfId="8" applyFont="1"/>
    <xf numFmtId="6" fontId="14" fillId="0" borderId="0" xfId="8" applyNumberFormat="1" applyFont="1" applyAlignment="1"/>
    <xf numFmtId="0" fontId="13" fillId="0" borderId="0" xfId="8" applyFont="1" applyAlignment="1">
      <alignment wrapText="1"/>
    </xf>
    <xf numFmtId="0" fontId="14" fillId="3" borderId="0" xfId="8" applyFont="1" applyFill="1" applyAlignment="1">
      <alignment horizontal="center" wrapText="1"/>
    </xf>
    <xf numFmtId="0" fontId="16" fillId="3" borderId="0" xfId="8" applyFont="1" applyFill="1" applyAlignment="1">
      <alignment horizontal="center" wrapText="1"/>
    </xf>
    <xf numFmtId="0" fontId="14" fillId="3" borderId="0" xfId="8" applyFont="1" applyFill="1" applyAlignment="1">
      <alignment wrapText="1"/>
    </xf>
    <xf numFmtId="0" fontId="18" fillId="0" borderId="0" xfId="10" applyFont="1" applyFill="1" applyBorder="1"/>
    <xf numFmtId="164" fontId="18" fillId="0" borderId="0" xfId="10" applyNumberFormat="1" applyFont="1" applyFill="1" applyBorder="1" applyAlignment="1">
      <alignment horizontal="center"/>
    </xf>
    <xf numFmtId="0" fontId="18" fillId="0" borderId="0" xfId="10" applyFont="1" applyFill="1" applyBorder="1" applyAlignment="1">
      <alignment horizontal="center"/>
    </xf>
    <xf numFmtId="0" fontId="18" fillId="0" borderId="0" xfId="3" applyFont="1" applyFill="1" applyBorder="1" applyAlignment="1">
      <alignment horizontal="left"/>
    </xf>
    <xf numFmtId="0" fontId="18" fillId="0" borderId="0" xfId="3" applyFont="1" applyFill="1" applyBorder="1"/>
    <xf numFmtId="164" fontId="18" fillId="0" borderId="0" xfId="10" applyNumberFormat="1" applyFont="1" applyFill="1" applyBorder="1"/>
    <xf numFmtId="0" fontId="19" fillId="0" borderId="0" xfId="3" applyFont="1" applyFill="1" applyBorder="1"/>
    <xf numFmtId="0" fontId="19" fillId="0" borderId="1" xfId="3" applyFont="1" applyFill="1" applyBorder="1" applyAlignment="1">
      <alignment horizontal="left"/>
    </xf>
    <xf numFmtId="0" fontId="19" fillId="4" borderId="0" xfId="3" applyFont="1" applyFill="1" applyBorder="1"/>
    <xf numFmtId="164" fontId="20" fillId="0" borderId="0" xfId="10" applyNumberFormat="1" applyFont="1" applyFill="1" applyBorder="1" applyAlignment="1">
      <alignment horizontal="center"/>
    </xf>
    <xf numFmtId="0" fontId="19" fillId="0" borderId="0" xfId="3" applyFont="1" applyFill="1" applyBorder="1" applyAlignment="1">
      <alignment vertical="top"/>
    </xf>
    <xf numFmtId="165" fontId="18" fillId="0" borderId="0" xfId="1" applyNumberFormat="1" applyFont="1" applyFill="1" applyBorder="1" applyAlignment="1">
      <alignment horizontal="center"/>
    </xf>
    <xf numFmtId="0" fontId="2" fillId="0" borderId="0" xfId="2"/>
    <xf numFmtId="0" fontId="7" fillId="3" borderId="0" xfId="0" applyFont="1" applyFill="1" applyBorder="1" applyAlignment="1" applyProtection="1">
      <alignment horizontal="center"/>
      <protection locked="0"/>
    </xf>
    <xf numFmtId="164" fontId="4" fillId="0" borderId="0" xfId="11" applyNumberFormat="1" applyFont="1" applyBorder="1"/>
    <xf numFmtId="164" fontId="4" fillId="0" borderId="0" xfId="0" applyNumberFormat="1" applyFont="1" applyBorder="1"/>
    <xf numFmtId="164" fontId="7" fillId="0" borderId="2" xfId="0" applyNumberFormat="1" applyFont="1" applyFill="1" applyBorder="1"/>
    <xf numFmtId="0" fontId="4" fillId="0" borderId="0" xfId="0" applyFont="1" applyFill="1" applyBorder="1" applyAlignment="1">
      <alignment horizontal="left"/>
    </xf>
    <xf numFmtId="0" fontId="4" fillId="0" borderId="0" xfId="0" applyFont="1" applyFill="1" applyBorder="1"/>
    <xf numFmtId="0" fontId="3" fillId="0" borderId="0" xfId="0" applyFont="1" applyFill="1"/>
    <xf numFmtId="0" fontId="4" fillId="0" borderId="0" xfId="2" applyFont="1" applyFill="1"/>
    <xf numFmtId="0" fontId="7" fillId="0" borderId="0" xfId="2" applyFont="1" applyFill="1" applyAlignment="1">
      <alignment horizontal="right"/>
    </xf>
    <xf numFmtId="164" fontId="4" fillId="0" borderId="0" xfId="2" applyNumberFormat="1" applyFont="1" applyFill="1"/>
    <xf numFmtId="0" fontId="22" fillId="0" borderId="0" xfId="2" applyFont="1" applyFill="1" applyBorder="1" applyAlignment="1">
      <alignment horizontal="left"/>
    </xf>
    <xf numFmtId="0" fontId="22" fillId="0" borderId="0" xfId="2" applyFont="1" applyFill="1"/>
    <xf numFmtId="164" fontId="23" fillId="0" borderId="0" xfId="5" applyNumberFormat="1" applyFont="1" applyBorder="1"/>
    <xf numFmtId="0" fontId="4" fillId="3" borderId="0" xfId="0" applyFont="1" applyFill="1" applyBorder="1"/>
    <xf numFmtId="0" fontId="4" fillId="3" borderId="0" xfId="0" applyFont="1" applyFill="1" applyBorder="1" applyAlignment="1">
      <alignment horizontal="center"/>
    </xf>
    <xf numFmtId="0" fontId="4" fillId="0" borderId="0" xfId="0" applyFont="1" applyBorder="1"/>
    <xf numFmtId="164" fontId="7" fillId="0" borderId="0" xfId="6" applyNumberFormat="1" applyFont="1" applyBorder="1"/>
    <xf numFmtId="0" fontId="13" fillId="0" borderId="0" xfId="0" applyFont="1" applyFill="1"/>
    <xf numFmtId="6" fontId="13" fillId="0" borderId="0" xfId="0" applyNumberFormat="1" applyFont="1" applyAlignment="1"/>
    <xf numFmtId="6" fontId="15" fillId="0" borderId="0" xfId="0" applyNumberFormat="1" applyFont="1" applyAlignment="1"/>
    <xf numFmtId="6" fontId="14" fillId="0" borderId="0" xfId="0" applyNumberFormat="1" applyFont="1" applyAlignment="1"/>
    <xf numFmtId="6" fontId="14" fillId="0" borderId="0" xfId="0" applyNumberFormat="1" applyFont="1" applyFill="1" applyAlignment="1"/>
    <xf numFmtId="6" fontId="13" fillId="0" borderId="0" xfId="0" applyNumberFormat="1" applyFont="1" applyFill="1" applyAlignment="1"/>
    <xf numFmtId="0" fontId="4" fillId="0" borderId="0" xfId="2" applyFont="1"/>
    <xf numFmtId="0" fontId="4" fillId="0" borderId="0" xfId="2" applyFont="1" applyBorder="1"/>
    <xf numFmtId="0" fontId="7" fillId="0" borderId="0" xfId="2" applyFont="1" applyBorder="1"/>
    <xf numFmtId="167" fontId="7" fillId="0" borderId="2" xfId="5" applyNumberFormat="1" applyFont="1" applyFill="1" applyBorder="1"/>
    <xf numFmtId="0" fontId="7" fillId="0" borderId="1" xfId="2" applyFont="1" applyFill="1" applyBorder="1"/>
    <xf numFmtId="167" fontId="4" fillId="0" borderId="0" xfId="5" applyNumberFormat="1" applyFont="1" applyFill="1" applyBorder="1"/>
    <xf numFmtId="0" fontId="4" fillId="0" borderId="0" xfId="2" applyFont="1" applyFill="1" applyBorder="1" applyAlignment="1">
      <alignment horizontal="left" indent="1"/>
    </xf>
    <xf numFmtId="0" fontId="24" fillId="0" borderId="0" xfId="2" applyFont="1"/>
    <xf numFmtId="0" fontId="7" fillId="3" borderId="0" xfId="2" applyFont="1" applyFill="1" applyBorder="1"/>
    <xf numFmtId="168" fontId="4" fillId="0" borderId="0" xfId="2" applyNumberFormat="1" applyFont="1"/>
    <xf numFmtId="164" fontId="19" fillId="0" borderId="2" xfId="0" applyNumberFormat="1" applyFont="1" applyBorder="1" applyAlignment="1"/>
    <xf numFmtId="164" fontId="25" fillId="0" borderId="0" xfId="2" applyNumberFormat="1" applyFont="1" applyFill="1"/>
    <xf numFmtId="164" fontId="2" fillId="0" borderId="0" xfId="2" applyNumberFormat="1" applyFont="1" applyFill="1"/>
    <xf numFmtId="169" fontId="3" fillId="0" borderId="0" xfId="2" applyNumberFormat="1" applyFont="1" applyFill="1"/>
    <xf numFmtId="0" fontId="3" fillId="0" borderId="0" xfId="3" applyFont="1" applyFill="1"/>
    <xf numFmtId="0" fontId="4" fillId="0" borderId="0" xfId="3" applyFont="1" applyFill="1"/>
    <xf numFmtId="164" fontId="4" fillId="0" borderId="0" xfId="3" applyNumberFormat="1" applyFont="1" applyFill="1"/>
    <xf numFmtId="0" fontId="27" fillId="0" borderId="0" xfId="3" applyFont="1" applyFill="1"/>
    <xf numFmtId="164" fontId="7" fillId="0" borderId="3" xfId="3" applyNumberFormat="1" applyFont="1" applyFill="1" applyBorder="1"/>
    <xf numFmtId="164" fontId="7" fillId="0" borderId="2" xfId="3" applyNumberFormat="1" applyFont="1" applyFill="1" applyBorder="1"/>
    <xf numFmtId="0" fontId="7" fillId="0" borderId="1" xfId="3" applyFont="1" applyFill="1" applyBorder="1" applyAlignment="1">
      <alignment horizontal="left"/>
    </xf>
    <xf numFmtId="0" fontId="4" fillId="0" borderId="5" xfId="3" applyFont="1" applyFill="1" applyBorder="1"/>
    <xf numFmtId="0" fontId="4" fillId="0" borderId="0" xfId="3" applyFont="1" applyFill="1" applyBorder="1"/>
    <xf numFmtId="0" fontId="3" fillId="0" borderId="0" xfId="3" applyFont="1" applyFill="1" applyAlignment="1">
      <alignment horizontal="center"/>
    </xf>
    <xf numFmtId="0" fontId="4" fillId="3" borderId="0" xfId="3" applyFont="1" applyFill="1" applyBorder="1" applyAlignment="1">
      <alignment horizontal="center"/>
    </xf>
    <xf numFmtId="0" fontId="4" fillId="0" borderId="0" xfId="2" applyFont="1" applyFill="1" applyAlignment="1">
      <alignment wrapText="1"/>
    </xf>
    <xf numFmtId="0" fontId="4" fillId="0" borderId="0" xfId="2" applyFont="1" applyFill="1" applyAlignment="1">
      <alignment horizontal="left" vertical="top"/>
    </xf>
    <xf numFmtId="0" fontId="4" fillId="0" borderId="0" xfId="3" applyFont="1" applyFill="1" applyAlignment="1">
      <alignment horizontal="left"/>
    </xf>
    <xf numFmtId="0" fontId="12" fillId="0" borderId="0" xfId="8"/>
    <xf numFmtId="0" fontId="18" fillId="0" borderId="0" xfId="3" applyFont="1" applyFill="1" applyBorder="1" applyAlignment="1">
      <alignment horizontal="left" vertical="top" wrapText="1"/>
    </xf>
    <xf numFmtId="0" fontId="28" fillId="0" borderId="0" xfId="8" applyFont="1"/>
    <xf numFmtId="164" fontId="29" fillId="0" borderId="0" xfId="8" applyNumberFormat="1" applyFont="1" applyBorder="1"/>
    <xf numFmtId="0" fontId="29" fillId="0" borderId="0" xfId="8" applyFont="1"/>
    <xf numFmtId="164" fontId="29" fillId="0" borderId="6" xfId="8" applyNumberFormat="1" applyFont="1" applyBorder="1"/>
    <xf numFmtId="0" fontId="29" fillId="0" borderId="0" xfId="8" applyFont="1" applyAlignment="1"/>
    <xf numFmtId="0" fontId="7" fillId="3" borderId="0" xfId="12" applyFont="1" applyFill="1" applyBorder="1" applyAlignment="1">
      <alignment horizontal="center"/>
    </xf>
    <xf numFmtId="0" fontId="7" fillId="3" borderId="0" xfId="12" applyFont="1" applyFill="1" applyBorder="1"/>
    <xf numFmtId="0" fontId="28" fillId="0" borderId="0" xfId="8" applyFont="1"/>
    <xf numFmtId="165" fontId="12" fillId="0" borderId="0" xfId="1" applyNumberFormat="1" applyFont="1"/>
    <xf numFmtId="0" fontId="19" fillId="4" borderId="0" xfId="5" applyNumberFormat="1" applyFont="1" applyFill="1" applyBorder="1" applyAlignment="1">
      <alignment horizontal="center"/>
    </xf>
    <xf numFmtId="164" fontId="18" fillId="0" borderId="0" xfId="0" applyNumberFormat="1" applyFont="1" applyFill="1" applyBorder="1" applyAlignment="1">
      <alignment horizontal="center"/>
    </xf>
    <xf numFmtId="164" fontId="18" fillId="0" borderId="0" xfId="0" applyNumberFormat="1" applyFont="1" applyFill="1" applyBorder="1" applyAlignment="1"/>
    <xf numFmtId="6" fontId="19" fillId="0" borderId="2" xfId="0" applyNumberFormat="1" applyFont="1" applyFill="1" applyBorder="1" applyAlignment="1">
      <alignment horizontal="center"/>
    </xf>
    <xf numFmtId="6" fontId="19" fillId="0" borderId="2" xfId="0" applyNumberFormat="1" applyFont="1" applyFill="1" applyBorder="1" applyAlignment="1"/>
    <xf numFmtId="0" fontId="18" fillId="0" borderId="0" xfId="0" applyFont="1" applyFill="1" applyBorder="1"/>
    <xf numFmtId="0" fontId="18" fillId="0" borderId="0" xfId="0" applyFont="1" applyFill="1" applyBorder="1" applyAlignment="1">
      <alignment horizontal="center"/>
    </xf>
    <xf numFmtId="166" fontId="18" fillId="0" borderId="0" xfId="10" applyNumberFormat="1" applyFont="1" applyFill="1" applyBorder="1" applyAlignment="1">
      <alignment horizontal="left"/>
    </xf>
    <xf numFmtId="164" fontId="19" fillId="0" borderId="0" xfId="10" applyNumberFormat="1" applyFont="1" applyFill="1" applyBorder="1" applyAlignment="1">
      <alignment horizontal="left"/>
    </xf>
    <xf numFmtId="170" fontId="18" fillId="0" borderId="0" xfId="10" applyNumberFormat="1" applyFont="1" applyFill="1" applyBorder="1" applyAlignment="1">
      <alignment horizontal="center"/>
    </xf>
    <xf numFmtId="0" fontId="18" fillId="0" borderId="0" xfId="13" applyFont="1" applyBorder="1"/>
    <xf numFmtId="164" fontId="18" fillId="0" borderId="0" xfId="13" applyNumberFormat="1" applyFont="1" applyFill="1" applyBorder="1"/>
    <xf numFmtId="0" fontId="18" fillId="0" borderId="0" xfId="13" applyFont="1" applyFill="1" applyBorder="1" applyAlignment="1">
      <alignment wrapText="1"/>
    </xf>
    <xf numFmtId="0" fontId="19" fillId="0" borderId="0" xfId="13" applyFont="1" applyBorder="1" applyAlignment="1">
      <alignment wrapText="1"/>
    </xf>
    <xf numFmtId="0" fontId="18" fillId="0" borderId="0" xfId="13" applyFont="1" applyBorder="1" applyAlignment="1"/>
    <xf numFmtId="164" fontId="19" fillId="0" borderId="3" xfId="13" applyNumberFormat="1" applyFont="1" applyFill="1" applyBorder="1"/>
    <xf numFmtId="164" fontId="19" fillId="0" borderId="2" xfId="13" applyNumberFormat="1" applyFont="1" applyFill="1" applyBorder="1"/>
    <xf numFmtId="0" fontId="19" fillId="0" borderId="5" xfId="13" applyFont="1" applyBorder="1" applyAlignment="1">
      <alignment wrapText="1"/>
    </xf>
    <xf numFmtId="164" fontId="18" fillId="0" borderId="0" xfId="5" applyNumberFormat="1" applyFont="1" applyFill="1" applyBorder="1"/>
    <xf numFmtId="0" fontId="18" fillId="0" borderId="2" xfId="13" applyFont="1" applyFill="1" applyBorder="1" applyAlignment="1">
      <alignment wrapText="1"/>
    </xf>
    <xf numFmtId="0" fontId="19" fillId="0" borderId="1" xfId="13" applyFont="1" applyBorder="1" applyAlignment="1">
      <alignment wrapText="1"/>
    </xf>
    <xf numFmtId="164" fontId="18" fillId="0" borderId="0" xfId="13" applyNumberFormat="1" applyFont="1" applyFill="1" applyBorder="1" applyAlignment="1">
      <alignment wrapText="1"/>
    </xf>
    <xf numFmtId="0" fontId="19" fillId="0" borderId="0" xfId="13" applyFont="1" applyFill="1" applyBorder="1" applyAlignment="1">
      <alignment wrapText="1"/>
    </xf>
    <xf numFmtId="164" fontId="20" fillId="0" borderId="0" xfId="13" applyNumberFormat="1" applyFont="1" applyFill="1" applyBorder="1"/>
    <xf numFmtId="0" fontId="20" fillId="0" borderId="0" xfId="13" applyFont="1" applyFill="1" applyBorder="1" applyAlignment="1">
      <alignment horizontal="right" wrapText="1"/>
    </xf>
    <xf numFmtId="0" fontId="18" fillId="0" borderId="0" xfId="13" applyFont="1" applyBorder="1" applyAlignment="1">
      <alignment horizontal="center"/>
    </xf>
    <xf numFmtId="0" fontId="19" fillId="4" borderId="0" xfId="13" applyNumberFormat="1" applyFont="1" applyFill="1" applyBorder="1" applyAlignment="1">
      <alignment horizontal="center"/>
    </xf>
    <xf numFmtId="0" fontId="19" fillId="4" borderId="0" xfId="13" applyFont="1" applyFill="1" applyBorder="1" applyAlignment="1">
      <alignment horizontal="center" wrapText="1"/>
    </xf>
    <xf numFmtId="9" fontId="18" fillId="0" borderId="0" xfId="1" applyFont="1" applyFill="1" applyBorder="1"/>
    <xf numFmtId="0" fontId="19" fillId="4" borderId="0" xfId="0" applyFont="1" applyFill="1" applyBorder="1" applyAlignment="1">
      <alignment wrapText="1"/>
    </xf>
    <xf numFmtId="0" fontId="19" fillId="4" borderId="0" xfId="0" applyFont="1" applyFill="1" applyBorder="1" applyAlignment="1">
      <alignment horizontal="center"/>
    </xf>
    <xf numFmtId="0" fontId="18" fillId="0" borderId="0" xfId="0" applyFont="1" applyBorder="1" applyAlignment="1">
      <alignment wrapText="1"/>
    </xf>
    <xf numFmtId="164" fontId="18" fillId="0" borderId="0" xfId="0" applyNumberFormat="1" applyFont="1" applyBorder="1" applyAlignment="1"/>
    <xf numFmtId="0" fontId="19" fillId="0" borderId="1" xfId="0" applyFont="1" applyBorder="1" applyAlignment="1">
      <alignment wrapText="1"/>
    </xf>
    <xf numFmtId="0" fontId="33" fillId="0" borderId="0" xfId="0" applyFont="1" applyBorder="1" applyAlignment="1"/>
    <xf numFmtId="0" fontId="19" fillId="0" borderId="0" xfId="0" applyFont="1" applyFill="1" applyBorder="1" applyAlignment="1">
      <alignment wrapText="1"/>
    </xf>
    <xf numFmtId="0" fontId="28" fillId="0" borderId="0" xfId="8" applyFont="1"/>
    <xf numFmtId="0" fontId="13" fillId="0" borderId="0" xfId="0" applyFont="1" applyAlignment="1">
      <alignment horizontal="left"/>
    </xf>
    <xf numFmtId="0" fontId="4" fillId="0" borderId="0" xfId="0" applyFont="1" applyFill="1" applyAlignment="1">
      <alignment wrapText="1"/>
    </xf>
    <xf numFmtId="0" fontId="18" fillId="0" borderId="0" xfId="2" applyFont="1"/>
    <xf numFmtId="0" fontId="18" fillId="0" borderId="0" xfId="2" applyFont="1" applyAlignment="1">
      <alignment horizontal="center"/>
    </xf>
    <xf numFmtId="0" fontId="19" fillId="0" borderId="0" xfId="2" applyFont="1"/>
    <xf numFmtId="6" fontId="19" fillId="0" borderId="7" xfId="2" applyNumberFormat="1" applyFont="1" applyBorder="1" applyAlignment="1"/>
    <xf numFmtId="0" fontId="18" fillId="0" borderId="0" xfId="2" applyFont="1" applyFill="1" applyAlignment="1">
      <alignment horizontal="left"/>
    </xf>
    <xf numFmtId="0" fontId="18" fillId="0" borderId="0" xfId="2" applyFont="1" applyFill="1" applyAlignment="1">
      <alignment horizontal="left" wrapText="1"/>
    </xf>
    <xf numFmtId="0" fontId="19" fillId="0" borderId="0" xfId="0" applyFont="1" applyFill="1" applyBorder="1"/>
    <xf numFmtId="0" fontId="7" fillId="0" borderId="0" xfId="2" applyFont="1"/>
    <xf numFmtId="0" fontId="18" fillId="0" borderId="0" xfId="17" applyFont="1" applyFill="1" applyBorder="1" applyAlignment="1"/>
    <xf numFmtId="0" fontId="35" fillId="0" borderId="0" xfId="2" applyFont="1"/>
    <xf numFmtId="171" fontId="35" fillId="0" borderId="0" xfId="14" applyNumberFormat="1" applyFont="1"/>
    <xf numFmtId="0" fontId="36" fillId="0" borderId="0" xfId="2" applyFont="1"/>
    <xf numFmtId="0" fontId="36" fillId="0" borderId="0" xfId="2" applyFont="1" applyAlignment="1">
      <alignment horizontal="right"/>
    </xf>
    <xf numFmtId="172" fontId="35" fillId="0" borderId="0" xfId="16" applyNumberFormat="1" applyFont="1"/>
    <xf numFmtId="0" fontId="4" fillId="0" borderId="0" xfId="0" applyFont="1" applyBorder="1"/>
    <xf numFmtId="0" fontId="28" fillId="0" borderId="0" xfId="8" applyFont="1"/>
    <xf numFmtId="43" fontId="35" fillId="0" borderId="0" xfId="2" applyNumberFormat="1" applyFont="1"/>
    <xf numFmtId="171" fontId="35" fillId="0" borderId="0" xfId="2" applyNumberFormat="1" applyFont="1"/>
    <xf numFmtId="0" fontId="4" fillId="0" borderId="0" xfId="0" applyFont="1" applyBorder="1"/>
    <xf numFmtId="0" fontId="4" fillId="0" borderId="0" xfId="0" applyFont="1" applyFill="1" applyAlignment="1">
      <alignment wrapText="1"/>
    </xf>
    <xf numFmtId="164" fontId="4" fillId="0" borderId="0" xfId="5" applyNumberFormat="1" applyFont="1" applyBorder="1"/>
    <xf numFmtId="164" fontId="4" fillId="0" borderId="0" xfId="5" applyNumberFormat="1" applyFont="1" applyFill="1" applyBorder="1"/>
    <xf numFmtId="0" fontId="7" fillId="3" borderId="0" xfId="0" applyFont="1" applyFill="1" applyBorder="1" applyAlignment="1">
      <alignment horizontal="center"/>
    </xf>
    <xf numFmtId="164" fontId="4" fillId="0" borderId="0" xfId="0" applyNumberFormat="1" applyFont="1" applyFill="1" applyBorder="1"/>
    <xf numFmtId="6" fontId="13" fillId="0" borderId="5" xfId="0" applyNumberFormat="1" applyFont="1" applyBorder="1" applyAlignment="1"/>
    <xf numFmtId="6" fontId="14" fillId="0" borderId="5" xfId="0" applyNumberFormat="1" applyFont="1" applyBorder="1" applyAlignment="1"/>
    <xf numFmtId="6" fontId="4" fillId="0" borderId="0" xfId="0" applyNumberFormat="1" applyFont="1" applyFill="1"/>
    <xf numFmtId="0" fontId="7" fillId="3" borderId="0" xfId="3" applyFont="1" applyFill="1" applyBorder="1" applyAlignment="1">
      <alignment horizontal="center"/>
    </xf>
    <xf numFmtId="164" fontId="4" fillId="0" borderId="0" xfId="0" applyNumberFormat="1" applyFont="1"/>
    <xf numFmtId="164" fontId="4" fillId="0" borderId="0" xfId="0" applyNumberFormat="1" applyFont="1" applyFill="1"/>
    <xf numFmtId="164" fontId="4" fillId="0" borderId="0" xfId="0" quotePrefix="1" applyNumberFormat="1" applyFont="1" applyFill="1" applyAlignment="1">
      <alignment horizontal="center"/>
    </xf>
    <xf numFmtId="6" fontId="18" fillId="0" borderId="0" xfId="0" applyNumberFormat="1" applyFont="1" applyAlignment="1"/>
    <xf numFmtId="0" fontId="18" fillId="0" borderId="0" xfId="2" applyFont="1" applyAlignment="1">
      <alignment horizontal="left"/>
    </xf>
    <xf numFmtId="6" fontId="29" fillId="0" borderId="0" xfId="0" applyNumberFormat="1" applyFont="1" applyAlignment="1"/>
    <xf numFmtId="164" fontId="29" fillId="0" borderId="0" xfId="0" applyNumberFormat="1" applyFont="1" applyAlignment="1"/>
    <xf numFmtId="6" fontId="29" fillId="0" borderId="0" xfId="0" applyNumberFormat="1" applyFont="1"/>
    <xf numFmtId="164" fontId="29" fillId="0" borderId="0" xfId="0" applyNumberFormat="1" applyFont="1"/>
    <xf numFmtId="0" fontId="7" fillId="0" borderId="0" xfId="0" applyFont="1" applyBorder="1" applyAlignment="1">
      <alignment vertical="top"/>
    </xf>
    <xf numFmtId="170" fontId="4" fillId="0" borderId="0" xfId="2" applyNumberFormat="1" applyFont="1"/>
    <xf numFmtId="172" fontId="35" fillId="5" borderId="0" xfId="16" applyNumberFormat="1" applyFont="1" applyFill="1"/>
    <xf numFmtId="172" fontId="35" fillId="6" borderId="0" xfId="16" applyNumberFormat="1" applyFont="1" applyFill="1"/>
    <xf numFmtId="172" fontId="35" fillId="7" borderId="0" xfId="16" applyNumberFormat="1" applyFont="1" applyFill="1"/>
    <xf numFmtId="172" fontId="35" fillId="8" borderId="0" xfId="16" applyNumberFormat="1" applyFont="1" applyFill="1"/>
    <xf numFmtId="172" fontId="35" fillId="9" borderId="0" xfId="16" applyNumberFormat="1" applyFont="1" applyFill="1"/>
    <xf numFmtId="0" fontId="13" fillId="0" borderId="0" xfId="8" applyFont="1" applyAlignment="1">
      <alignment horizontal="left" wrapText="1"/>
    </xf>
    <xf numFmtId="0" fontId="24" fillId="0" borderId="0" xfId="3" applyFont="1" applyFill="1" applyBorder="1" applyAlignment="1">
      <alignment horizontal="left" wrapText="1"/>
    </xf>
    <xf numFmtId="0" fontId="24" fillId="0" borderId="0" xfId="0" applyFont="1" applyBorder="1" applyAlignment="1">
      <alignment horizontal="left" wrapText="1"/>
    </xf>
    <xf numFmtId="0" fontId="4" fillId="0" borderId="0" xfId="3" applyFont="1" applyFill="1" applyBorder="1" applyAlignment="1">
      <alignment horizontal="left" wrapText="1"/>
    </xf>
    <xf numFmtId="0" fontId="4" fillId="0" borderId="0" xfId="0" applyFont="1" applyBorder="1" applyAlignment="1">
      <alignment horizontal="left" wrapText="1"/>
    </xf>
    <xf numFmtId="0" fontId="7" fillId="0" borderId="0" xfId="4" applyFont="1" applyFill="1" applyBorder="1" applyAlignment="1">
      <alignment horizontal="left" vertical="top"/>
    </xf>
    <xf numFmtId="0" fontId="4" fillId="0" borderId="0" xfId="2" applyFont="1" applyBorder="1" applyAlignment="1">
      <alignment horizontal="left" wrapText="1"/>
    </xf>
    <xf numFmtId="0" fontId="4" fillId="0" borderId="0" xfId="3" applyFont="1" applyFill="1" applyBorder="1" applyAlignment="1">
      <alignment wrapText="1"/>
    </xf>
    <xf numFmtId="0" fontId="4" fillId="0" borderId="0" xfId="0" applyFont="1" applyBorder="1" applyAlignment="1">
      <alignment wrapText="1"/>
    </xf>
    <xf numFmtId="0" fontId="4" fillId="0" borderId="0" xfId="0" applyFont="1" applyBorder="1"/>
    <xf numFmtId="0" fontId="17" fillId="0" borderId="0" xfId="8" applyFont="1" applyAlignment="1">
      <alignment vertical="top"/>
    </xf>
    <xf numFmtId="0" fontId="13" fillId="0" borderId="0" xfId="0" applyFont="1" applyAlignment="1">
      <alignment horizontal="left" wrapText="1"/>
    </xf>
    <xf numFmtId="0" fontId="13" fillId="0" borderId="0" xfId="0" applyFont="1" applyAlignment="1">
      <alignment horizontal="left"/>
    </xf>
    <xf numFmtId="0" fontId="7" fillId="0" borderId="0" xfId="2" applyFont="1"/>
    <xf numFmtId="0" fontId="4" fillId="0" borderId="0" xfId="0" applyFont="1"/>
    <xf numFmtId="0" fontId="7" fillId="0" borderId="0" xfId="3" applyFont="1" applyFill="1" applyBorder="1" applyAlignment="1">
      <alignment vertical="top"/>
    </xf>
    <xf numFmtId="0" fontId="4" fillId="0" borderId="0" xfId="3" applyFont="1" applyFill="1" applyAlignment="1">
      <alignment horizontal="left" wrapText="1"/>
    </xf>
    <xf numFmtId="0" fontId="4" fillId="0" borderId="0" xfId="0" applyFont="1" applyFill="1" applyAlignment="1">
      <alignment wrapText="1"/>
    </xf>
    <xf numFmtId="0" fontId="7" fillId="0" borderId="0" xfId="2" applyFont="1" applyAlignment="1">
      <alignment horizontal="left" vertical="top" wrapText="1"/>
    </xf>
    <xf numFmtId="0" fontId="18" fillId="0" borderId="0" xfId="2" applyFont="1" applyAlignment="1">
      <alignment wrapText="1"/>
    </xf>
    <xf numFmtId="0" fontId="18" fillId="0" borderId="0" xfId="0" applyFont="1" applyFill="1" applyBorder="1"/>
    <xf numFmtId="0" fontId="18" fillId="0" borderId="0" xfId="3" applyFont="1" applyFill="1" applyBorder="1" applyAlignment="1">
      <alignment horizontal="left" wrapText="1"/>
    </xf>
    <xf numFmtId="0" fontId="18" fillId="0" borderId="0" xfId="3" applyFont="1" applyFill="1" applyBorder="1" applyAlignment="1"/>
    <xf numFmtId="0" fontId="18" fillId="0" borderId="0" xfId="3" applyFont="1" applyFill="1" applyBorder="1" applyAlignment="1">
      <alignment horizontal="left" vertical="top" wrapText="1"/>
    </xf>
    <xf numFmtId="0" fontId="18" fillId="0" borderId="0" xfId="3" applyFont="1" applyFill="1" applyBorder="1" applyAlignment="1">
      <alignment horizontal="left" vertical="center" wrapText="1"/>
    </xf>
    <xf numFmtId="0" fontId="28" fillId="0" borderId="0" xfId="8" applyFont="1"/>
    <xf numFmtId="0" fontId="18" fillId="0" borderId="0" xfId="13" applyFont="1" applyBorder="1" applyAlignment="1"/>
    <xf numFmtId="0" fontId="19" fillId="0" borderId="0" xfId="13" applyFont="1" applyBorder="1" applyAlignment="1">
      <alignment vertical="top"/>
    </xf>
    <xf numFmtId="0" fontId="19" fillId="0" borderId="1" xfId="13" applyFont="1" applyFill="1" applyBorder="1" applyAlignment="1">
      <alignment horizontal="left" wrapText="1"/>
    </xf>
    <xf numFmtId="0" fontId="19" fillId="0" borderId="2" xfId="13" applyFont="1" applyFill="1" applyBorder="1" applyAlignment="1">
      <alignment horizontal="left" wrapText="1"/>
    </xf>
    <xf numFmtId="0" fontId="19" fillId="0" borderId="1" xfId="13" applyFont="1" applyFill="1" applyBorder="1" applyAlignment="1">
      <alignment wrapText="1"/>
    </xf>
    <xf numFmtId="0" fontId="19" fillId="0" borderId="2" xfId="13" applyFont="1" applyFill="1" applyBorder="1" applyAlignment="1">
      <alignment wrapText="1"/>
    </xf>
    <xf numFmtId="0" fontId="19" fillId="0" borderId="1" xfId="13" applyFont="1" applyBorder="1" applyAlignment="1">
      <alignment wrapText="1"/>
    </xf>
    <xf numFmtId="0" fontId="19" fillId="0" borderId="2" xfId="13" applyFont="1" applyBorder="1" applyAlignment="1">
      <alignment wrapText="1"/>
    </xf>
    <xf numFmtId="0" fontId="18" fillId="0" borderId="0" xfId="0" applyFont="1" applyFill="1" applyBorder="1" applyAlignment="1">
      <alignment wrapText="1"/>
    </xf>
  </cellXfs>
  <cellStyles count="18">
    <cellStyle name="Comma" xfId="14" builtinId="3"/>
    <cellStyle name="Comma 2" xfId="16"/>
    <cellStyle name="Currency 2" xfId="5"/>
    <cellStyle name="Currency 3" xfId="11"/>
    <cellStyle name="Normal" xfId="0" builtinId="0"/>
    <cellStyle name="Normal 2" xfId="2"/>
    <cellStyle name="Normal 2 2" xfId="10"/>
    <cellStyle name="Normal 2 3" xfId="15"/>
    <cellStyle name="Normal 3" xfId="6"/>
    <cellStyle name="Normal 4" xfId="7"/>
    <cellStyle name="Normal 5" xfId="8"/>
    <cellStyle name="Normal 5 2" xfId="12"/>
    <cellStyle name="Normal 6" xfId="17"/>
    <cellStyle name="Normal_78 - 04 FW spending report Spring 05Revised" xfId="13"/>
    <cellStyle name="Normal_Gov Report File" xfId="3"/>
    <cellStyle name="Normal_Sheet1" xfId="4"/>
    <cellStyle name="Note 2" xfId="9"/>
    <cellStyle name="Percent" xfId="1" builtinId="5"/>
  </cellStyles>
  <dxfs count="0"/>
  <tableStyles count="0" defaultTableStyle="TableStyleMedium9" defaultPivotStyle="PivotStyleLight16"/>
  <colors>
    <mruColors>
      <color rgb="FFFFFFFF"/>
      <color rgb="FF8064A2"/>
      <color rgb="FFF68B32"/>
      <color rgb="FF856BA5"/>
      <color rgb="FF9BBB59"/>
      <color rgb="FFC0504D"/>
      <color rgb="FF4F81BD"/>
      <color rgb="FF4BACC6"/>
      <color rgb="FFECB314"/>
      <color rgb="FF9AB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0052726358132"/>
          <c:y val="2.6451465647437679E-3"/>
          <c:w val="0.73793696685066634"/>
          <c:h val="0.99113884874045965"/>
        </c:manualLayout>
      </c:layout>
      <c:pieChart>
        <c:varyColors val="1"/>
        <c:ser>
          <c:idx val="0"/>
          <c:order val="0"/>
          <c:spPr>
            <a:ln>
              <a:noFill/>
            </a:ln>
          </c:spPr>
          <c:dPt>
            <c:idx val="0"/>
            <c:bubble3D val="0"/>
            <c:spPr>
              <a:solidFill>
                <a:schemeClr val="accent1"/>
              </a:solidFill>
              <a:ln w="19050">
                <a:noFill/>
              </a:ln>
              <a:effectLst/>
            </c:spPr>
          </c:dPt>
          <c:dPt>
            <c:idx val="1"/>
            <c:bubble3D val="0"/>
            <c:spPr>
              <a:solidFill>
                <a:schemeClr val="accent2">
                  <a:lumMod val="40000"/>
                  <a:lumOff val="60000"/>
                </a:schemeClr>
              </a:solidFill>
              <a:ln w="19050">
                <a:noFill/>
              </a:ln>
              <a:effectLst/>
            </c:spPr>
          </c:dPt>
          <c:dPt>
            <c:idx val="2"/>
            <c:bubble3D val="0"/>
            <c:spPr>
              <a:solidFill>
                <a:schemeClr val="accent3">
                  <a:lumMod val="75000"/>
                </a:schemeClr>
              </a:solidFill>
              <a:ln w="19050">
                <a:noFill/>
              </a:ln>
              <a:effectLst/>
            </c:spPr>
          </c:dPt>
          <c:dPt>
            <c:idx val="3"/>
            <c:bubble3D val="0"/>
            <c:spPr>
              <a:solidFill>
                <a:srgbClr val="9BBB59"/>
              </a:solidFill>
              <a:ln w="19050">
                <a:noFill/>
              </a:ln>
              <a:effectLst/>
            </c:spPr>
          </c:dPt>
          <c:dPt>
            <c:idx val="4"/>
            <c:bubble3D val="0"/>
            <c:spPr>
              <a:solidFill>
                <a:schemeClr val="accent3">
                  <a:lumMod val="60000"/>
                  <a:lumOff val="40000"/>
                </a:schemeClr>
              </a:solidFill>
              <a:ln w="19050">
                <a:noFill/>
              </a:ln>
              <a:effectLst/>
            </c:spPr>
          </c:dPt>
          <c:dPt>
            <c:idx val="5"/>
            <c:bubble3D val="0"/>
            <c:spPr>
              <a:solidFill>
                <a:schemeClr val="accent3">
                  <a:lumMod val="40000"/>
                  <a:lumOff val="60000"/>
                </a:schemeClr>
              </a:solidFill>
              <a:ln w="19050">
                <a:noFill/>
              </a:ln>
              <a:effectLst/>
            </c:spPr>
          </c:dPt>
          <c:dPt>
            <c:idx val="6"/>
            <c:bubble3D val="0"/>
            <c:spPr>
              <a:solidFill>
                <a:srgbClr val="856BA5"/>
              </a:solidFill>
              <a:ln w="19050">
                <a:noFill/>
              </a:ln>
              <a:effectLst/>
            </c:spPr>
          </c:dPt>
          <c:dPt>
            <c:idx val="7"/>
            <c:bubble3D val="0"/>
            <c:spPr>
              <a:solidFill>
                <a:schemeClr val="accent4">
                  <a:lumMod val="40000"/>
                  <a:lumOff val="60000"/>
                </a:schemeClr>
              </a:solidFill>
              <a:ln w="19050">
                <a:noFill/>
              </a:ln>
              <a:effectLst/>
            </c:spPr>
          </c:dPt>
          <c:dPt>
            <c:idx val="8"/>
            <c:bubble3D val="0"/>
            <c:spPr>
              <a:solidFill>
                <a:srgbClr val="F68B32"/>
              </a:solidFill>
              <a:ln w="19050">
                <a:noFill/>
              </a:ln>
              <a:effectLst/>
            </c:spPr>
          </c:dPt>
          <c:dPt>
            <c:idx val="9"/>
            <c:bubble3D val="0"/>
            <c:spPr>
              <a:solidFill>
                <a:schemeClr val="bg1">
                  <a:lumMod val="75000"/>
                </a:schemeClr>
              </a:solidFill>
              <a:ln w="19050">
                <a:noFill/>
              </a:ln>
              <a:effectLst/>
            </c:spPr>
          </c:dPt>
          <c:dPt>
            <c:idx val="10"/>
            <c:bubble3D val="0"/>
            <c:spPr>
              <a:solidFill>
                <a:schemeClr val="accent5">
                  <a:lumMod val="60000"/>
                </a:schemeClr>
              </a:solidFill>
              <a:ln w="19050">
                <a:noFill/>
              </a:ln>
              <a:effectLst/>
            </c:spPr>
          </c:dPt>
          <c:dPt>
            <c:idx val="11"/>
            <c:bubble3D val="0"/>
            <c:spPr>
              <a:solidFill>
                <a:schemeClr val="accent6">
                  <a:lumMod val="60000"/>
                </a:schemeClr>
              </a:solidFill>
              <a:ln w="19050">
                <a:noFill/>
              </a:ln>
              <a:effectLst/>
            </c:spPr>
          </c:dPt>
          <c:dLbls>
            <c:dLbl>
              <c:idx val="0"/>
              <c:layout>
                <c:manualLayout>
                  <c:x val="-0.11553955086926115"/>
                  <c:y val="6.9759071899922656E-2"/>
                </c:manualLayout>
              </c:layout>
              <c:showLegendKey val="0"/>
              <c:showVal val="1"/>
              <c:showCatName val="1"/>
              <c:showSerName val="0"/>
              <c:showPercent val="0"/>
              <c:showBubbleSize val="0"/>
              <c:extLst>
                <c:ext xmlns:c15="http://schemas.microsoft.com/office/drawing/2012/chart" uri="{CE6537A1-D6FC-4f65-9D91-7224C49458BB}">
                  <c15:layout>
                    <c:manualLayout>
                      <c:w val="0.16877614618960968"/>
                      <c:h val="5.7000763051284972E-2"/>
                    </c:manualLayout>
                  </c15:layout>
                </c:ext>
              </c:extLst>
            </c:dLbl>
            <c:dLbl>
              <c:idx val="1"/>
              <c:layout>
                <c:manualLayout>
                  <c:x val="-4.8325506923419498E-2"/>
                  <c:y val="-9.0161271876135568E-2"/>
                </c:manualLayout>
              </c:layout>
              <c:numFmt formatCode="&quot;$&quot;#0.0\ &quot;million&quot;" sourceLinked="0"/>
              <c:spPr>
                <a:solidFill>
                  <a:srgbClr val="FFFFFF">
                    <a:alpha val="85098"/>
                  </a:srgb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716357483266159"/>
                      <c:h val="6.1384433133817529E-2"/>
                    </c:manualLayout>
                  </c15:layout>
                </c:ext>
              </c:extLst>
            </c:dLbl>
            <c:dLbl>
              <c:idx val="2"/>
              <c:layout>
                <c:manualLayout>
                  <c:x val="-0.14010641773007676"/>
                  <c:y val="-2.7084323448254524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8456765440082346"/>
                      <c:h val="5.7000763051284972E-2"/>
                    </c:manualLayout>
                  </c15:layout>
                </c:ext>
              </c:extLst>
            </c:dLbl>
            <c:dLbl>
              <c:idx val="3"/>
              <c:layout>
                <c:manualLayout>
                  <c:x val="-7.4600670074533457E-2"/>
                  <c:y val="2.6428461535575043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4401122965498539"/>
                      <c:h val="5.7000763051284972E-2"/>
                    </c:manualLayout>
                  </c15:layout>
                </c:ext>
              </c:extLst>
            </c:dLbl>
            <c:dLbl>
              <c:idx val="4"/>
              <c:layout>
                <c:manualLayout>
                  <c:x val="-1.752797846799066E-2"/>
                  <c:y val="2.6567791404586868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1.4994207144097082E-2"/>
                  <c:y val="-3.4611317794626721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6023244631556063"/>
                      <c:h val="9.222478965513245E-2"/>
                    </c:manualLayout>
                  </c15:layout>
                </c:ext>
              </c:extLst>
            </c:dLbl>
            <c:dLbl>
              <c:idx val="6"/>
              <c:layout>
                <c:manualLayout>
                  <c:x val="-1.704203300680002E-2"/>
                  <c:y val="-0.10456519047159905"/>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1540056669604228"/>
                      <c:h val="9.222478965513245E-2"/>
                    </c:manualLayout>
                  </c15:layout>
                </c:ext>
              </c:extLst>
            </c:dLbl>
            <c:dLbl>
              <c:idx val="7"/>
              <c:layout>
                <c:manualLayout>
                  <c:x val="-2.2819637254635532E-2"/>
                  <c:y val="6.1334835616042777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t" anchorCtr="0">
                  <a:noAutofit/>
                </a:bodyPr>
                <a:lstStyle/>
                <a:p>
                  <a:pPr algn="l">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020817677278306"/>
                      <c:h val="5.9872850889794153E-2"/>
                    </c:manualLayout>
                  </c15:layout>
                </c:ext>
              </c:extLst>
            </c:dLbl>
            <c:dLbl>
              <c:idx val="8"/>
              <c:layout>
                <c:manualLayout>
                  <c:x val="9.1635049523510467E-2"/>
                  <c:y val="6.9815848005796377E-2"/>
                </c:manualLayout>
              </c:layout>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0">
                  <a:noAutofit/>
                </a:bodyPr>
                <a:lstStyle/>
                <a:p>
                  <a:pPr algn="ct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7487314782514171"/>
                      <c:h val="9.6416106206558327E-2"/>
                    </c:manualLayout>
                  </c15:layout>
                </c:ext>
              </c:extLst>
            </c:dLbl>
            <c:dLbl>
              <c:idx val="9"/>
              <c:layout>
                <c:manualLayout>
                  <c:x val="0.20177349454630092"/>
                  <c:y val="-0.21521909189385488"/>
                </c:manualLayout>
              </c:layout>
              <c:showLegendKey val="0"/>
              <c:showVal val="1"/>
              <c:showCatName val="1"/>
              <c:showSerName val="0"/>
              <c:showPercent val="0"/>
              <c:showBubbleSize val="0"/>
              <c:extLst>
                <c:ext xmlns:c15="http://schemas.microsoft.com/office/drawing/2012/chart" uri="{CE6537A1-D6FC-4f65-9D91-7224C49458BB}"/>
              </c:extLst>
            </c:dLbl>
            <c:numFmt formatCode="&quot;$&quot;#0.0\ &quot;million&quot;" sourceLinked="0"/>
            <c:spPr>
              <a:solidFill>
                <a:schemeClr val="bg1">
                  <a:alpha val="85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'1_CostsByArea'!$A$5:$A$13</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'1_CostsByArea'!$B$5:$B$13</c:f>
              <c:numCache>
                <c:formatCode>_(* #,##0_);_(* \(#,##0\);_(* "-"??_);_(@_)</c:formatCode>
                <c:ptCount val="9"/>
                <c:pt idx="0">
                  <c:v>258.10000000000002</c:v>
                </c:pt>
                <c:pt idx="1">
                  <c:v>76.599999999999994</c:v>
                </c:pt>
                <c:pt idx="2">
                  <c:v>48.2</c:v>
                </c:pt>
                <c:pt idx="3">
                  <c:v>28.6</c:v>
                </c:pt>
                <c:pt idx="4">
                  <c:v>6</c:v>
                </c:pt>
                <c:pt idx="5">
                  <c:v>5.36</c:v>
                </c:pt>
                <c:pt idx="6">
                  <c:v>85.6</c:v>
                </c:pt>
                <c:pt idx="7">
                  <c:v>62.6</c:v>
                </c:pt>
                <c:pt idx="8">
                  <c:v>50.3</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cat>
            <c:strRef>
              <c:f>'1_CostsByArea'!$A$5:$A$13</c:f>
              <c:strCache>
                <c:ptCount val="9"/>
                <c:pt idx="0">
                  <c:v>Direct F&amp;W Program</c:v>
                </c:pt>
                <c:pt idx="1">
                  <c:v>Forgone Revenue</c:v>
                </c:pt>
                <c:pt idx="2">
                  <c:v>Corps of Engineers O&amp;M (est.)</c:v>
                </c:pt>
                <c:pt idx="3">
                  <c:v>Lower Snake Comp Plan</c:v>
                </c:pt>
                <c:pt idx="4">
                  <c:v>Bureau of Reclamation O&amp;M (est.)</c:v>
                </c:pt>
                <c:pt idx="5">
                  <c:v>NW Power &amp; Conservation Council</c:v>
                </c:pt>
                <c:pt idx="6">
                  <c:v>Interest Expense (est.)</c:v>
                </c:pt>
                <c:pt idx="7">
                  <c:v>Amoritization/Depreciation (est.)</c:v>
                </c:pt>
                <c:pt idx="8">
                  <c:v>Power Purchases for Fish Enhancement (est.)</c:v>
                </c:pt>
              </c:strCache>
            </c:strRef>
          </c:cat>
          <c:val>
            <c:numRef>
              <c:f>'1_CostsByArea'!$B$5:$B$13</c:f>
              <c:numCache>
                <c:formatCode>_(* #,##0_);_(* \(#,##0\);_(* "-"??_);_(@_)</c:formatCode>
                <c:ptCount val="9"/>
                <c:pt idx="0">
                  <c:v>258.10000000000002</c:v>
                </c:pt>
                <c:pt idx="1">
                  <c:v>76.599999999999994</c:v>
                </c:pt>
                <c:pt idx="2">
                  <c:v>48.2</c:v>
                </c:pt>
                <c:pt idx="3">
                  <c:v>28.6</c:v>
                </c:pt>
                <c:pt idx="4">
                  <c:v>6</c:v>
                </c:pt>
                <c:pt idx="5">
                  <c:v>5.36</c:v>
                </c:pt>
                <c:pt idx="6">
                  <c:v>85.6</c:v>
                </c:pt>
                <c:pt idx="7">
                  <c:v>62.6</c:v>
                </c:pt>
                <c:pt idx="8">
                  <c:v>50.3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'10_Contractor'!$B$76:$B$108</c:f>
              <c:strCache>
                <c:ptCount val="33"/>
                <c:pt idx="0">
                  <c:v>Federal: BPA Overhead (&amp; Non-Contracted Project Costs)</c:v>
                </c:pt>
                <c:pt idx="1">
                  <c:v>Federal: National Marine Fisheries</c:v>
                </c:pt>
                <c:pt idx="2">
                  <c:v>Federal: US Fish &amp; Wildlife Service</c:v>
                </c:pt>
                <c:pt idx="3">
                  <c:v>Federal: US Geological Survey</c:v>
                </c:pt>
                <c:pt idx="4">
                  <c:v>Federal: US Army Corps of Engineers</c:v>
                </c:pt>
                <c:pt idx="5">
                  <c:v>Federal: US Forest Service</c:v>
                </c:pt>
                <c:pt idx="6">
                  <c:v>Federal: Other</c:v>
                </c:pt>
                <c:pt idx="7">
                  <c:v>State: Oregon Department of Fish &amp; Wildlife</c:v>
                </c:pt>
                <c:pt idx="8">
                  <c:v>State: Washington Department of Fish &amp; Wildlife</c:v>
                </c:pt>
                <c:pt idx="9">
                  <c:v>State: Idaho Department of Fish &amp; Wildlife</c:v>
                </c:pt>
                <c:pt idx="10">
                  <c:v>State: Montana Fish, Wildlife And Parks</c:v>
                </c:pt>
                <c:pt idx="11">
                  <c:v>State: Idaho State Office of Species Conservation</c:v>
                </c:pt>
                <c:pt idx="12">
                  <c:v>Tribe: Yakama Confederated Tribes</c:v>
                </c:pt>
                <c:pt idx="13">
                  <c:v>Tribe: Nez Perce Tribe</c:v>
                </c:pt>
                <c:pt idx="14">
                  <c:v>Tribe: Kootenai Tribe</c:v>
                </c:pt>
                <c:pt idx="15">
                  <c:v>Tribe: Colville Confederated Tribes</c:v>
                </c:pt>
                <c:pt idx="16">
                  <c:v>Tribe: Umatilla Confederated Tribes</c:v>
                </c:pt>
                <c:pt idx="17">
                  <c:v>Tribe: Columbia River Intertribal Fish Commission</c:v>
                </c:pt>
                <c:pt idx="18">
                  <c:v>Tribe: Confederated Tribes of Warm Springs</c:v>
                </c:pt>
                <c:pt idx="19">
                  <c:v>Tribe: Shoshone-Bannock Tribes</c:v>
                </c:pt>
                <c:pt idx="20">
                  <c:v>Tribe: Spokane Tribe of Indians</c:v>
                </c:pt>
                <c:pt idx="21">
                  <c:v>Tribe: Kalispel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'10_Contractor'!#REF!</c:f>
              <c:numCache>
                <c:formatCode>General</c:formatCode>
                <c:ptCount val="1"/>
                <c:pt idx="0">
                  <c:v>1</c:v>
                </c:pt>
              </c:numCache>
            </c:numRef>
          </c:val>
        </c:ser>
        <c:ser>
          <c:idx val="1"/>
          <c:order val="1"/>
          <c:spPr>
            <a:solidFill>
              <a:schemeClr val="accent2"/>
            </a:solidFill>
            <a:ln>
              <a:noFill/>
            </a:ln>
            <a:effectLst/>
          </c:spPr>
          <c:invertIfNegative val="0"/>
          <c:dPt>
            <c:idx val="6"/>
            <c:invertIfNegative val="0"/>
            <c:bubble3D val="0"/>
            <c:spPr>
              <a:solidFill>
                <a:srgbClr val="C0504D"/>
              </a:solidFill>
              <a:ln>
                <a:noFill/>
              </a:ln>
              <a:effectLst/>
            </c:spPr>
          </c:dPt>
          <c:dPt>
            <c:idx val="7"/>
            <c:invertIfNegative val="0"/>
            <c:bubble3D val="0"/>
            <c:spPr>
              <a:solidFill>
                <a:srgbClr val="9AB9D2"/>
              </a:solidFill>
              <a:ln>
                <a:noFill/>
              </a:ln>
              <a:effectLst/>
            </c:spPr>
          </c:dPt>
          <c:dPt>
            <c:idx val="8"/>
            <c:invertIfNegative val="0"/>
            <c:bubble3D val="0"/>
            <c:spPr>
              <a:solidFill>
                <a:srgbClr val="9AB9D2"/>
              </a:solidFill>
              <a:ln>
                <a:noFill/>
              </a:ln>
              <a:effectLst/>
            </c:spPr>
          </c:dPt>
          <c:dPt>
            <c:idx val="9"/>
            <c:invertIfNegative val="0"/>
            <c:bubble3D val="0"/>
            <c:spPr>
              <a:solidFill>
                <a:srgbClr val="9AB9D2"/>
              </a:solidFill>
              <a:ln>
                <a:noFill/>
              </a:ln>
              <a:effectLst/>
            </c:spPr>
          </c:dPt>
          <c:dPt>
            <c:idx val="10"/>
            <c:invertIfNegative val="0"/>
            <c:bubble3D val="0"/>
            <c:spPr>
              <a:solidFill>
                <a:srgbClr val="9AB9D2"/>
              </a:solidFill>
              <a:ln>
                <a:noFill/>
              </a:ln>
              <a:effectLst/>
            </c:spPr>
          </c:dPt>
          <c:dPt>
            <c:idx val="11"/>
            <c:invertIfNegative val="0"/>
            <c:bubble3D val="0"/>
            <c:spPr>
              <a:solidFill>
                <a:srgbClr val="9AB9D2"/>
              </a:solidFill>
              <a:ln>
                <a:noFill/>
              </a:ln>
              <a:effectLst/>
            </c:spPr>
          </c:dPt>
          <c:dPt>
            <c:idx val="12"/>
            <c:invertIfNegative val="0"/>
            <c:bubble3D val="0"/>
            <c:spPr>
              <a:solidFill>
                <a:schemeClr val="accent3">
                  <a:lumMod val="60000"/>
                  <a:lumOff val="40000"/>
                </a:schemeClr>
              </a:solidFill>
              <a:ln>
                <a:noFill/>
              </a:ln>
              <a:effectLst/>
            </c:spPr>
          </c:dPt>
          <c:dPt>
            <c:idx val="13"/>
            <c:invertIfNegative val="0"/>
            <c:bubble3D val="0"/>
            <c:spPr>
              <a:solidFill>
                <a:schemeClr val="accent3">
                  <a:lumMod val="60000"/>
                  <a:lumOff val="40000"/>
                </a:schemeClr>
              </a:solidFill>
              <a:ln>
                <a:noFill/>
              </a:ln>
              <a:effectLst/>
            </c:spPr>
          </c:dPt>
          <c:dPt>
            <c:idx val="14"/>
            <c:invertIfNegative val="0"/>
            <c:bubble3D val="0"/>
            <c:spPr>
              <a:solidFill>
                <a:schemeClr val="accent3">
                  <a:lumMod val="60000"/>
                  <a:lumOff val="40000"/>
                </a:schemeClr>
              </a:solidFill>
              <a:ln>
                <a:noFill/>
              </a:ln>
              <a:effectLst/>
            </c:spPr>
          </c:dPt>
          <c:dPt>
            <c:idx val="15"/>
            <c:invertIfNegative val="0"/>
            <c:bubble3D val="0"/>
            <c:spPr>
              <a:solidFill>
                <a:schemeClr val="accent3">
                  <a:lumMod val="60000"/>
                  <a:lumOff val="40000"/>
                </a:schemeClr>
              </a:solidFill>
              <a:ln>
                <a:noFill/>
              </a:ln>
              <a:effectLst/>
            </c:spPr>
          </c:dPt>
          <c:dPt>
            <c:idx val="16"/>
            <c:invertIfNegative val="0"/>
            <c:bubble3D val="0"/>
            <c:spPr>
              <a:solidFill>
                <a:schemeClr val="accent3">
                  <a:lumMod val="60000"/>
                  <a:lumOff val="40000"/>
                </a:schemeClr>
              </a:solidFill>
              <a:ln>
                <a:noFill/>
              </a:ln>
              <a:effectLst/>
            </c:spPr>
          </c:dPt>
          <c:dPt>
            <c:idx val="17"/>
            <c:invertIfNegative val="0"/>
            <c:bubble3D val="0"/>
            <c:spPr>
              <a:solidFill>
                <a:schemeClr val="accent3">
                  <a:lumMod val="60000"/>
                  <a:lumOff val="40000"/>
                </a:schemeClr>
              </a:solidFill>
              <a:ln>
                <a:noFill/>
              </a:ln>
              <a:effectLst/>
            </c:spPr>
          </c:dPt>
          <c:dPt>
            <c:idx val="18"/>
            <c:invertIfNegative val="0"/>
            <c:bubble3D val="0"/>
            <c:spPr>
              <a:solidFill>
                <a:schemeClr val="accent3">
                  <a:lumMod val="60000"/>
                  <a:lumOff val="40000"/>
                </a:schemeClr>
              </a:solidFill>
              <a:ln>
                <a:noFill/>
              </a:ln>
              <a:effectLst/>
            </c:spPr>
          </c:dPt>
          <c:dPt>
            <c:idx val="19"/>
            <c:invertIfNegative val="0"/>
            <c:bubble3D val="0"/>
            <c:spPr>
              <a:solidFill>
                <a:schemeClr val="accent3">
                  <a:lumMod val="60000"/>
                  <a:lumOff val="40000"/>
                </a:schemeClr>
              </a:solidFill>
              <a:ln>
                <a:noFill/>
              </a:ln>
              <a:effectLst/>
            </c:spPr>
          </c:dPt>
          <c:dPt>
            <c:idx val="20"/>
            <c:invertIfNegative val="0"/>
            <c:bubble3D val="0"/>
            <c:spPr>
              <a:solidFill>
                <a:schemeClr val="accent3">
                  <a:lumMod val="60000"/>
                  <a:lumOff val="40000"/>
                </a:schemeClr>
              </a:solidFill>
              <a:ln>
                <a:noFill/>
              </a:ln>
              <a:effectLst/>
            </c:spPr>
          </c:dPt>
          <c:dPt>
            <c:idx val="21"/>
            <c:invertIfNegative val="0"/>
            <c:bubble3D val="0"/>
            <c:spPr>
              <a:solidFill>
                <a:schemeClr val="accent3">
                  <a:lumMod val="60000"/>
                  <a:lumOff val="40000"/>
                </a:schemeClr>
              </a:solidFill>
              <a:ln>
                <a:noFill/>
              </a:ln>
              <a:effectLst/>
            </c:spPr>
          </c:dPt>
          <c:dPt>
            <c:idx val="22"/>
            <c:invertIfNegative val="0"/>
            <c:bubble3D val="0"/>
            <c:spPr>
              <a:solidFill>
                <a:schemeClr val="accent3">
                  <a:lumMod val="60000"/>
                  <a:lumOff val="40000"/>
                </a:schemeClr>
              </a:solidFill>
              <a:ln>
                <a:noFill/>
              </a:ln>
              <a:effectLst/>
            </c:spPr>
          </c:dPt>
          <c:dPt>
            <c:idx val="23"/>
            <c:invertIfNegative val="0"/>
            <c:bubble3D val="0"/>
            <c:spPr>
              <a:solidFill>
                <a:schemeClr val="accent3">
                  <a:lumMod val="60000"/>
                  <a:lumOff val="40000"/>
                </a:schemeClr>
              </a:solidFill>
              <a:ln>
                <a:noFill/>
              </a:ln>
              <a:effectLst/>
            </c:spPr>
          </c:dPt>
          <c:dPt>
            <c:idx val="24"/>
            <c:invertIfNegative val="0"/>
            <c:bubble3D val="0"/>
            <c:spPr>
              <a:solidFill>
                <a:schemeClr val="accent3">
                  <a:lumMod val="60000"/>
                  <a:lumOff val="40000"/>
                </a:schemeClr>
              </a:solidFill>
              <a:ln>
                <a:noFill/>
              </a:ln>
              <a:effectLst/>
            </c:spPr>
          </c:dPt>
          <c:dPt>
            <c:idx val="25"/>
            <c:invertIfNegative val="0"/>
            <c:bubble3D val="0"/>
            <c:spPr>
              <a:solidFill>
                <a:schemeClr val="accent3">
                  <a:lumMod val="60000"/>
                  <a:lumOff val="40000"/>
                </a:schemeClr>
              </a:solidFill>
              <a:ln>
                <a:noFill/>
              </a:ln>
              <a:effectLst/>
            </c:spPr>
          </c:dPt>
          <c:dPt>
            <c:idx val="26"/>
            <c:invertIfNegative val="0"/>
            <c:bubble3D val="0"/>
            <c:spPr>
              <a:solidFill>
                <a:schemeClr val="accent4">
                  <a:lumMod val="60000"/>
                  <a:lumOff val="40000"/>
                </a:schemeClr>
              </a:solidFill>
              <a:ln>
                <a:noFill/>
              </a:ln>
              <a:effectLst/>
            </c:spPr>
          </c:dPt>
          <c:dPt>
            <c:idx val="27"/>
            <c:invertIfNegative val="0"/>
            <c:bubble3D val="0"/>
            <c:spPr>
              <a:solidFill>
                <a:srgbClr val="ECB314"/>
              </a:solidFill>
              <a:ln>
                <a:noFill/>
              </a:ln>
              <a:effectLst/>
            </c:spPr>
          </c:dPt>
          <c:dPt>
            <c:idx val="28"/>
            <c:invertIfNegative val="0"/>
            <c:bubble3D val="0"/>
            <c:spPr>
              <a:solidFill>
                <a:schemeClr val="bg1">
                  <a:lumMod val="65000"/>
                </a:schemeClr>
              </a:solidFill>
              <a:ln>
                <a:noFill/>
              </a:ln>
              <a:effectLst/>
            </c:spPr>
          </c:dPt>
          <c:dPt>
            <c:idx val="29"/>
            <c:invertIfNegative val="0"/>
            <c:bubble3D val="0"/>
            <c:spPr>
              <a:solidFill>
                <a:schemeClr val="bg1">
                  <a:lumMod val="65000"/>
                </a:schemeClr>
              </a:solidFill>
              <a:ln>
                <a:noFill/>
              </a:ln>
              <a:effectLst/>
            </c:spPr>
          </c:dPt>
          <c:dPt>
            <c:idx val="30"/>
            <c:invertIfNegative val="0"/>
            <c:bubble3D val="0"/>
            <c:spPr>
              <a:solidFill>
                <a:schemeClr val="bg1">
                  <a:lumMod val="65000"/>
                </a:schemeClr>
              </a:solidFill>
              <a:ln>
                <a:noFill/>
              </a:ln>
              <a:effectLst/>
            </c:spPr>
          </c:dPt>
          <c:dPt>
            <c:idx val="31"/>
            <c:invertIfNegative val="0"/>
            <c:bubble3D val="0"/>
            <c:spPr>
              <a:solidFill>
                <a:schemeClr val="bg1">
                  <a:lumMod val="65000"/>
                </a:schemeClr>
              </a:solidFill>
              <a:ln>
                <a:noFill/>
              </a:ln>
              <a:effectLst/>
            </c:spPr>
          </c:dPt>
          <c:dPt>
            <c:idx val="32"/>
            <c:invertIfNegative val="0"/>
            <c:bubble3D val="0"/>
            <c:spPr>
              <a:solidFill>
                <a:schemeClr val="bg1">
                  <a:lumMod val="65000"/>
                </a:schemeClr>
              </a:solidFill>
              <a:ln>
                <a:noFill/>
              </a:ln>
              <a:effectLst/>
            </c:spPr>
          </c:dPt>
          <c:cat>
            <c:strRef>
              <c:f>'10_Contractor'!$B$76:$B$108</c:f>
              <c:strCache>
                <c:ptCount val="33"/>
                <c:pt idx="0">
                  <c:v>Federal: BPA Overhead (&amp; Non-Contracted Project Costs)</c:v>
                </c:pt>
                <c:pt idx="1">
                  <c:v>Federal: National Marine Fisheries</c:v>
                </c:pt>
                <c:pt idx="2">
                  <c:v>Federal: US Fish &amp; Wildlife Service</c:v>
                </c:pt>
                <c:pt idx="3">
                  <c:v>Federal: US Geological Survey</c:v>
                </c:pt>
                <c:pt idx="4">
                  <c:v>Federal: US Army Corps of Engineers</c:v>
                </c:pt>
                <c:pt idx="5">
                  <c:v>Federal: US Forest Service</c:v>
                </c:pt>
                <c:pt idx="6">
                  <c:v>Federal: Other</c:v>
                </c:pt>
                <c:pt idx="7">
                  <c:v>State: Oregon Department of Fish &amp; Wildlife</c:v>
                </c:pt>
                <c:pt idx="8">
                  <c:v>State: Washington Department of Fish &amp; Wildlife</c:v>
                </c:pt>
                <c:pt idx="9">
                  <c:v>State: Idaho Department of Fish &amp; Wildlife</c:v>
                </c:pt>
                <c:pt idx="10">
                  <c:v>State: Montana Fish, Wildlife And Parks</c:v>
                </c:pt>
                <c:pt idx="11">
                  <c:v>State: Idaho State Office of Species Conservation</c:v>
                </c:pt>
                <c:pt idx="12">
                  <c:v>Tribe: Yakama Confederated Tribes</c:v>
                </c:pt>
                <c:pt idx="13">
                  <c:v>Tribe: Nez Perce Tribe</c:v>
                </c:pt>
                <c:pt idx="14">
                  <c:v>Tribe: Kootenai Tribe</c:v>
                </c:pt>
                <c:pt idx="15">
                  <c:v>Tribe: Colville Confederated Tribes</c:v>
                </c:pt>
                <c:pt idx="16">
                  <c:v>Tribe: Umatilla Confederated Tribes</c:v>
                </c:pt>
                <c:pt idx="17">
                  <c:v>Tribe: Columbia River Intertribal Fish Commission</c:v>
                </c:pt>
                <c:pt idx="18">
                  <c:v>Tribe: Confederated Tribes of Warm Springs</c:v>
                </c:pt>
                <c:pt idx="19">
                  <c:v>Tribe: Shoshone-Bannock Tribes</c:v>
                </c:pt>
                <c:pt idx="20">
                  <c:v>Tribe: Spokane Tribe of Indians</c:v>
                </c:pt>
                <c:pt idx="21">
                  <c:v>Tribe: Kalispel Tribe of Indians</c:v>
                </c:pt>
                <c:pt idx="22">
                  <c:v>Tribe: Coeur D'Alene Tribe of Idaho</c:v>
                </c:pt>
                <c:pt idx="23">
                  <c:v>Tribe: Shoshone-Paiute Tribes</c:v>
                </c:pt>
                <c:pt idx="24">
                  <c:v>Tribe: Burns-Paiute</c:v>
                </c:pt>
                <c:pt idx="25">
                  <c:v>Tribe: Other</c:v>
                </c:pt>
                <c:pt idx="26">
                  <c:v>Interstate: Pacific States Marine Fisheries Commission</c:v>
                </c:pt>
                <c:pt idx="27">
                  <c:v>University</c:v>
                </c:pt>
                <c:pt idx="28">
                  <c:v>Other: Private/Non-Profit/Other</c:v>
                </c:pt>
                <c:pt idx="29">
                  <c:v>Other: Land Acquisitions</c:v>
                </c:pt>
                <c:pt idx="30">
                  <c:v>Other: Local/Semi Government</c:v>
                </c:pt>
                <c:pt idx="31">
                  <c:v>Other: National Fish &amp; Wildlife Foundation</c:v>
                </c:pt>
                <c:pt idx="32">
                  <c:v>Other: Utility</c:v>
                </c:pt>
              </c:strCache>
            </c:strRef>
          </c:cat>
          <c:val>
            <c:numRef>
              <c:f>'10_Contractor'!$C$76:$C$108</c:f>
              <c:numCache>
                <c:formatCode>"$"#,##0</c:formatCode>
                <c:ptCount val="33"/>
                <c:pt idx="0">
                  <c:v>20288062.460000001</c:v>
                </c:pt>
                <c:pt idx="1">
                  <c:v>6916949.9299999997</c:v>
                </c:pt>
                <c:pt idx="2">
                  <c:v>3027580.13</c:v>
                </c:pt>
                <c:pt idx="3">
                  <c:v>1809299.77</c:v>
                </c:pt>
                <c:pt idx="4">
                  <c:v>1278360.5900000001</c:v>
                </c:pt>
                <c:pt idx="5">
                  <c:v>962584.71</c:v>
                </c:pt>
                <c:pt idx="6">
                  <c:v>1057224</c:v>
                </c:pt>
                <c:pt idx="7">
                  <c:v>15246155.84</c:v>
                </c:pt>
                <c:pt idx="8">
                  <c:v>12793662.689999999</c:v>
                </c:pt>
                <c:pt idx="9">
                  <c:v>11875775.390000001</c:v>
                </c:pt>
                <c:pt idx="10">
                  <c:v>3810995.26</c:v>
                </c:pt>
                <c:pt idx="11">
                  <c:v>3352209.85</c:v>
                </c:pt>
                <c:pt idx="12">
                  <c:v>27344154.420000002</c:v>
                </c:pt>
                <c:pt idx="13">
                  <c:v>16526286.51</c:v>
                </c:pt>
                <c:pt idx="14">
                  <c:v>15188306.74</c:v>
                </c:pt>
                <c:pt idx="15">
                  <c:v>15137000.189999999</c:v>
                </c:pt>
                <c:pt idx="16">
                  <c:v>10584970.689999999</c:v>
                </c:pt>
                <c:pt idx="17">
                  <c:v>9140737.4800000004</c:v>
                </c:pt>
                <c:pt idx="18">
                  <c:v>6615139.9800000004</c:v>
                </c:pt>
                <c:pt idx="19">
                  <c:v>3422312.84</c:v>
                </c:pt>
                <c:pt idx="20">
                  <c:v>3403932.96</c:v>
                </c:pt>
                <c:pt idx="21">
                  <c:v>3359053.68</c:v>
                </c:pt>
                <c:pt idx="22">
                  <c:v>2722811.24</c:v>
                </c:pt>
                <c:pt idx="23">
                  <c:v>936944.3</c:v>
                </c:pt>
                <c:pt idx="24">
                  <c:v>797848.95</c:v>
                </c:pt>
                <c:pt idx="25">
                  <c:v>2433903</c:v>
                </c:pt>
                <c:pt idx="26">
                  <c:v>13908920.439999999</c:v>
                </c:pt>
                <c:pt idx="27">
                  <c:v>3036342.71</c:v>
                </c:pt>
                <c:pt idx="28">
                  <c:v>25183984.760000002</c:v>
                </c:pt>
                <c:pt idx="29">
                  <c:v>18204477.829999998</c:v>
                </c:pt>
                <c:pt idx="30">
                  <c:v>7743399.0499999998</c:v>
                </c:pt>
                <c:pt idx="31">
                  <c:v>4792260.0599999996</c:v>
                </c:pt>
                <c:pt idx="32">
                  <c:v>1214989.6599999999</c:v>
                </c:pt>
              </c:numCache>
            </c:numRef>
          </c:val>
        </c:ser>
        <c:dLbls>
          <c:showLegendKey val="0"/>
          <c:showVal val="0"/>
          <c:showCatName val="0"/>
          <c:showSerName val="0"/>
          <c:showPercent val="0"/>
          <c:showBubbleSize val="0"/>
        </c:dLbls>
        <c:gapWidth val="52"/>
        <c:axId val="483680552"/>
        <c:axId val="483680944"/>
      </c:barChart>
      <c:catAx>
        <c:axId val="483680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944"/>
        <c:crosses val="autoZero"/>
        <c:auto val="1"/>
        <c:lblAlgn val="ctr"/>
        <c:lblOffset val="100"/>
        <c:noMultiLvlLbl val="0"/>
      </c:catAx>
      <c:valAx>
        <c:axId val="483680944"/>
        <c:scaling>
          <c:orientation val="minMax"/>
        </c:scaling>
        <c:delete val="0"/>
        <c:axPos val="t"/>
        <c:majorGridlines>
          <c:spPr>
            <a:ln w="9525" cap="flat" cmpd="sng" algn="ctr">
              <a:solidFill>
                <a:schemeClr val="tx1">
                  <a:lumMod val="15000"/>
                  <a:lumOff val="85000"/>
                </a:schemeClr>
              </a:solidFill>
              <a:round/>
            </a:ln>
            <a:effectLst/>
          </c:spPr>
        </c:majorGridlines>
        <c:numFmt formatCode="&quot;$&quot;#0,,\ &quot;mil&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05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94"/>
          <c:y val="1.1144733600781059E-2"/>
          <c:w val="0.59880164245374745"/>
          <c:h val="0.94507048763721402"/>
        </c:manualLayout>
      </c:layout>
      <c:barChart>
        <c:barDir val="bar"/>
        <c:grouping val="stacked"/>
        <c:varyColors val="0"/>
        <c:ser>
          <c:idx val="0"/>
          <c:order val="0"/>
          <c:spPr>
            <a:effectLst>
              <a:outerShdw blurRad="50800" dist="38100" dir="5400000" algn="t" rotWithShape="0">
                <a:prstClr val="black">
                  <a:alpha val="40000"/>
                </a:prstClr>
              </a:outerShdw>
            </a:effectLst>
          </c:spPr>
          <c:invertIfNegative val="0"/>
          <c:cat>
            <c:strRef>
              <c:f>'11_LandPurchases'!$A$46:$A$52</c:f>
              <c:strCache>
                <c:ptCount val="7"/>
                <c:pt idx="0">
                  <c:v>Oregon Department Of Fish and Wildlife (ODFW)</c:v>
                </c:pt>
                <c:pt idx="1">
                  <c:v>Idaho Department of Fish and Game (IDFG)</c:v>
                </c:pt>
                <c:pt idx="2">
                  <c:v>Salish and Kootenai Confederated Tribes</c:v>
                </c:pt>
                <c:pt idx="3">
                  <c:v>Umatilla Confederated Tribes (CTUIR)</c:v>
                </c:pt>
                <c:pt idx="4">
                  <c:v>Shoshone-Bannock Tribes</c:v>
                </c:pt>
                <c:pt idx="5">
                  <c:v>Idaho Office of Species Conservation</c:v>
                </c:pt>
                <c:pt idx="6">
                  <c:v>Yakama Confederated Tribes</c:v>
                </c:pt>
              </c:strCache>
            </c:strRef>
          </c:cat>
          <c:val>
            <c:numRef>
              <c:f>'11_LandPurchases'!$B$46:$B$52</c:f>
              <c:numCache>
                <c:formatCode>"$"#,##0</c:formatCode>
                <c:ptCount val="7"/>
                <c:pt idx="0">
                  <c:v>10868814</c:v>
                </c:pt>
                <c:pt idx="1">
                  <c:v>1877580.5</c:v>
                </c:pt>
                <c:pt idx="2">
                  <c:v>1815933.75</c:v>
                </c:pt>
                <c:pt idx="3">
                  <c:v>1783866</c:v>
                </c:pt>
                <c:pt idx="4">
                  <c:v>786320</c:v>
                </c:pt>
                <c:pt idx="5">
                  <c:v>680000</c:v>
                </c:pt>
                <c:pt idx="6">
                  <c:v>260540</c:v>
                </c:pt>
              </c:numCache>
            </c:numRef>
          </c:val>
        </c:ser>
        <c:dLbls>
          <c:showLegendKey val="0"/>
          <c:showVal val="0"/>
          <c:showCatName val="0"/>
          <c:showSerName val="0"/>
          <c:showPercent val="0"/>
          <c:showBubbleSize val="0"/>
        </c:dLbls>
        <c:gapWidth val="76"/>
        <c:overlap val="100"/>
        <c:axId val="483681728"/>
        <c:axId val="483682120"/>
      </c:barChart>
      <c:catAx>
        <c:axId val="483681728"/>
        <c:scaling>
          <c:orientation val="maxMin"/>
        </c:scaling>
        <c:delete val="0"/>
        <c:axPos val="l"/>
        <c:numFmt formatCode="General" sourceLinked="0"/>
        <c:majorTickMark val="out"/>
        <c:minorTickMark val="none"/>
        <c:tickLblPos val="nextTo"/>
        <c:txPr>
          <a:bodyPr rot="0" vert="horz" anchor="ctr" anchorCtr="1"/>
          <a:lstStyle/>
          <a:p>
            <a:pPr>
              <a:defRPr sz="1050">
                <a:solidFill>
                  <a:schemeClr val="bg1">
                    <a:lumMod val="50000"/>
                  </a:schemeClr>
                </a:solidFill>
                <a:latin typeface="Century Gothic" pitchFamily="34" charset="0"/>
              </a:defRPr>
            </a:pPr>
            <a:endParaRPr lang="en-US"/>
          </a:p>
        </c:txPr>
        <c:crossAx val="483682120"/>
        <c:crosses val="autoZero"/>
        <c:auto val="1"/>
        <c:lblAlgn val="ctr"/>
        <c:lblOffset val="100"/>
        <c:noMultiLvlLbl val="0"/>
      </c:catAx>
      <c:valAx>
        <c:axId val="483682120"/>
        <c:scaling>
          <c:orientation val="minMax"/>
        </c:scaling>
        <c:delete val="0"/>
        <c:axPos val="t"/>
        <c:majorGridlines>
          <c:spPr>
            <a:ln>
              <a:solidFill>
                <a:schemeClr val="bg1">
                  <a:lumMod val="65000"/>
                </a:schemeClr>
              </a:solidFill>
            </a:ln>
          </c:spPr>
        </c:majorGridlines>
        <c:numFmt formatCode="&quot;$&quot;#0,,\ &quot;mil&quot;" sourceLinked="0"/>
        <c:majorTickMark val="out"/>
        <c:minorTickMark val="none"/>
        <c:tickLblPos val="nextTo"/>
        <c:spPr>
          <a:ln>
            <a:solidFill>
              <a:schemeClr val="bg1">
                <a:lumMod val="65000"/>
              </a:schemeClr>
            </a:solidFill>
          </a:ln>
        </c:spPr>
        <c:txPr>
          <a:bodyPr/>
          <a:lstStyle/>
          <a:p>
            <a:pPr>
              <a:defRPr sz="1050">
                <a:solidFill>
                  <a:schemeClr val="bg1">
                    <a:lumMod val="50000"/>
                  </a:schemeClr>
                </a:solidFill>
                <a:latin typeface="Century Gothic" pitchFamily="34" charset="0"/>
              </a:defRPr>
            </a:pPr>
            <a:endParaRPr lang="en-US"/>
          </a:p>
        </c:txPr>
        <c:crossAx val="483681728"/>
        <c:crosses val="autoZero"/>
        <c:crossBetween val="between"/>
      </c:valAx>
      <c:spPr>
        <a:ln>
          <a:solidFill>
            <a:sysClr val="window" lastClr="FFFFFF">
              <a:lumMod val="65000"/>
            </a:sysClr>
          </a:solidFill>
        </a:ln>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7065669533049459"/>
          <c:h val="0.86161656411805998"/>
        </c:manualLayout>
      </c:layout>
      <c:areaChart>
        <c:grouping val="stacked"/>
        <c:varyColors val="0"/>
        <c:ser>
          <c:idx val="0"/>
          <c:order val="0"/>
          <c:tx>
            <c:strRef>
              <c:f>'12_Cumulative'!$A$4</c:f>
              <c:strCache>
                <c:ptCount val="1"/>
                <c:pt idx="0">
                  <c:v>Power Purchases</c:v>
                </c:pt>
              </c:strCache>
            </c:strRef>
          </c:tx>
          <c:spPr>
            <a:solidFill>
              <a:srgbClr val="4F81BD"/>
            </a:solidFill>
            <a:ln>
              <a:noFill/>
            </a:ln>
            <a:effectLst/>
          </c:spPr>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'12_Cumulative'!$C$4:$AL$4</c:f>
              <c:numCache>
                <c:formatCode>_(* #,##0.0_);_(* \(#,##0.0\);_(* "-"??_);_(@_)</c:formatCode>
                <c:ptCount val="36"/>
                <c:pt idx="0">
                  <c:v>0</c:v>
                </c:pt>
                <c:pt idx="1">
                  <c:v>0</c:v>
                </c:pt>
                <c:pt idx="2">
                  <c:v>0</c:v>
                </c:pt>
                <c:pt idx="3">
                  <c:v>12</c:v>
                </c:pt>
                <c:pt idx="4">
                  <c:v>29</c:v>
                </c:pt>
                <c:pt idx="5">
                  <c:v>103</c:v>
                </c:pt>
                <c:pt idx="6">
                  <c:v>114</c:v>
                </c:pt>
                <c:pt idx="7">
                  <c:v>154</c:v>
                </c:pt>
                <c:pt idx="8">
                  <c:v>194</c:v>
                </c:pt>
                <c:pt idx="9">
                  <c:v>234</c:v>
                </c:pt>
                <c:pt idx="10">
                  <c:v>274</c:v>
                </c:pt>
                <c:pt idx="11">
                  <c:v>333</c:v>
                </c:pt>
                <c:pt idx="12">
                  <c:v>437</c:v>
                </c:pt>
                <c:pt idx="13">
                  <c:v>548.70000000000005</c:v>
                </c:pt>
                <c:pt idx="14">
                  <c:v>612.20000000000005</c:v>
                </c:pt>
                <c:pt idx="15">
                  <c:v>612.20000000000005</c:v>
                </c:pt>
                <c:pt idx="16">
                  <c:v>612.20000000000005</c:v>
                </c:pt>
                <c:pt idx="17">
                  <c:v>617.6</c:v>
                </c:pt>
                <c:pt idx="18">
                  <c:v>665.2</c:v>
                </c:pt>
                <c:pt idx="19">
                  <c:v>730</c:v>
                </c:pt>
                <c:pt idx="20">
                  <c:v>2119.6</c:v>
                </c:pt>
                <c:pt idx="21">
                  <c:v>2267.4</c:v>
                </c:pt>
                <c:pt idx="22">
                  <c:v>2438.5</c:v>
                </c:pt>
                <c:pt idx="23">
                  <c:v>2629.5</c:v>
                </c:pt>
                <c:pt idx="24">
                  <c:v>2740.3</c:v>
                </c:pt>
                <c:pt idx="25">
                  <c:v>2908.5</c:v>
                </c:pt>
                <c:pt idx="26">
                  <c:v>3029.2</c:v>
                </c:pt>
                <c:pt idx="27">
                  <c:v>3304.1</c:v>
                </c:pt>
                <c:pt idx="28">
                  <c:v>3544.4</c:v>
                </c:pt>
                <c:pt idx="29">
                  <c:v>3854.5</c:v>
                </c:pt>
                <c:pt idx="30">
                  <c:v>3925.2</c:v>
                </c:pt>
                <c:pt idx="31">
                  <c:v>3963.7</c:v>
                </c:pt>
                <c:pt idx="32">
                  <c:v>4049.8</c:v>
                </c:pt>
                <c:pt idx="33">
                  <c:v>4246</c:v>
                </c:pt>
                <c:pt idx="34">
                  <c:v>4313.2</c:v>
                </c:pt>
                <c:pt idx="35">
                  <c:v>4363.5</c:v>
                </c:pt>
              </c:numCache>
            </c:numRef>
          </c:val>
        </c:ser>
        <c:ser>
          <c:idx val="1"/>
          <c:order val="1"/>
          <c:tx>
            <c:strRef>
              <c:f>'12_Cumulative'!$A$5</c:f>
              <c:strCache>
                <c:ptCount val="1"/>
                <c:pt idx="0">
                  <c:v>Forgone Revenues</c:v>
                </c:pt>
              </c:strCache>
            </c:strRef>
          </c:tx>
          <c:spPr>
            <a:solidFill>
              <a:srgbClr val="C0504D"/>
            </a:solidFill>
            <a:ln>
              <a:noFill/>
            </a:ln>
            <a:effectLst/>
          </c:spPr>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'12_Cumulative'!$C$5:$AL$5</c:f>
              <c:numCache>
                <c:formatCode>_(* #,##0.0_);_(* \(#,##0.0\);_(* "-"??_);_(@_)</c:formatCode>
                <c:ptCount val="36"/>
                <c:pt idx="0">
                  <c:v>3</c:v>
                </c:pt>
                <c:pt idx="1">
                  <c:v>17</c:v>
                </c:pt>
                <c:pt idx="2">
                  <c:v>18</c:v>
                </c:pt>
                <c:pt idx="3">
                  <c:v>26</c:v>
                </c:pt>
                <c:pt idx="4">
                  <c:v>53</c:v>
                </c:pt>
                <c:pt idx="5">
                  <c:v>72</c:v>
                </c:pt>
                <c:pt idx="6">
                  <c:v>79</c:v>
                </c:pt>
                <c:pt idx="7">
                  <c:v>89</c:v>
                </c:pt>
                <c:pt idx="8">
                  <c:v>104</c:v>
                </c:pt>
                <c:pt idx="9">
                  <c:v>119</c:v>
                </c:pt>
                <c:pt idx="10">
                  <c:v>134</c:v>
                </c:pt>
                <c:pt idx="11">
                  <c:v>137</c:v>
                </c:pt>
                <c:pt idx="12">
                  <c:v>182</c:v>
                </c:pt>
                <c:pt idx="13">
                  <c:v>244</c:v>
                </c:pt>
                <c:pt idx="14">
                  <c:v>251.1</c:v>
                </c:pt>
                <c:pt idx="15">
                  <c:v>332.8</c:v>
                </c:pt>
                <c:pt idx="16">
                  <c:v>440.6</c:v>
                </c:pt>
                <c:pt idx="17">
                  <c:v>557.1</c:v>
                </c:pt>
                <c:pt idx="18">
                  <c:v>754.9</c:v>
                </c:pt>
                <c:pt idx="19">
                  <c:v>948</c:v>
                </c:pt>
                <c:pt idx="20">
                  <c:v>1063.9000000000001</c:v>
                </c:pt>
                <c:pt idx="21">
                  <c:v>1076.5</c:v>
                </c:pt>
                <c:pt idx="22">
                  <c:v>1155.7</c:v>
                </c:pt>
                <c:pt idx="23">
                  <c:v>1177.4000000000001</c:v>
                </c:pt>
                <c:pt idx="24">
                  <c:v>1359.5</c:v>
                </c:pt>
                <c:pt idx="25">
                  <c:v>1756.9</c:v>
                </c:pt>
                <c:pt idx="26">
                  <c:v>2039.5</c:v>
                </c:pt>
                <c:pt idx="27">
                  <c:v>2335</c:v>
                </c:pt>
                <c:pt idx="28">
                  <c:v>2477.8000000000002</c:v>
                </c:pt>
                <c:pt idx="29">
                  <c:v>2577.4</c:v>
                </c:pt>
                <c:pt idx="30">
                  <c:v>2734.1</c:v>
                </c:pt>
                <c:pt idx="31">
                  <c:v>2886.3</c:v>
                </c:pt>
                <c:pt idx="32">
                  <c:v>3021.3</c:v>
                </c:pt>
                <c:pt idx="33">
                  <c:v>3144</c:v>
                </c:pt>
                <c:pt idx="34">
                  <c:v>3340.1</c:v>
                </c:pt>
                <c:pt idx="35">
                  <c:v>3407.6</c:v>
                </c:pt>
              </c:numCache>
            </c:numRef>
          </c:val>
        </c:ser>
        <c:ser>
          <c:idx val="2"/>
          <c:order val="2"/>
          <c:tx>
            <c:strRef>
              <c:f>'12_Cumulative'!$A$6</c:f>
              <c:strCache>
                <c:ptCount val="1"/>
                <c:pt idx="0">
                  <c:v>Reimbursable Expenses</c:v>
                </c:pt>
              </c:strCache>
            </c:strRef>
          </c:tx>
          <c:spPr>
            <a:solidFill>
              <a:srgbClr val="9BBB59"/>
            </a:solidFill>
            <a:ln>
              <a:noFill/>
            </a:ln>
            <a:effectLst/>
          </c:spPr>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'12_Cumulative'!$C$6:$AL$6</c:f>
              <c:numCache>
                <c:formatCode>_(* #,##0.0_);_(* \(#,##0.0\);_(* "-"??_);_(@_)</c:formatCode>
                <c:ptCount val="36"/>
                <c:pt idx="0">
                  <c:v>21</c:v>
                </c:pt>
                <c:pt idx="1">
                  <c:v>32.5</c:v>
                </c:pt>
                <c:pt idx="2">
                  <c:v>46.7</c:v>
                </c:pt>
                <c:pt idx="3">
                  <c:v>62.7</c:v>
                </c:pt>
                <c:pt idx="4">
                  <c:v>82.6</c:v>
                </c:pt>
                <c:pt idx="5">
                  <c:v>106.3</c:v>
                </c:pt>
                <c:pt idx="6">
                  <c:v>136</c:v>
                </c:pt>
                <c:pt idx="7">
                  <c:v>155</c:v>
                </c:pt>
                <c:pt idx="8">
                  <c:v>178.6</c:v>
                </c:pt>
                <c:pt idx="9">
                  <c:v>202</c:v>
                </c:pt>
                <c:pt idx="10">
                  <c:v>226.3</c:v>
                </c:pt>
                <c:pt idx="11">
                  <c:v>254.7</c:v>
                </c:pt>
                <c:pt idx="12">
                  <c:v>285.2</c:v>
                </c:pt>
                <c:pt idx="13">
                  <c:v>320.10000000000002</c:v>
                </c:pt>
                <c:pt idx="14">
                  <c:v>356.2</c:v>
                </c:pt>
                <c:pt idx="15">
                  <c:v>391.6</c:v>
                </c:pt>
                <c:pt idx="16">
                  <c:v>427.5</c:v>
                </c:pt>
                <c:pt idx="17">
                  <c:v>463.9</c:v>
                </c:pt>
                <c:pt idx="18">
                  <c:v>502.8</c:v>
                </c:pt>
                <c:pt idx="19">
                  <c:v>540.4</c:v>
                </c:pt>
                <c:pt idx="20">
                  <c:v>582.9</c:v>
                </c:pt>
                <c:pt idx="21">
                  <c:v>633.79999999999995</c:v>
                </c:pt>
                <c:pt idx="22">
                  <c:v>686.4</c:v>
                </c:pt>
                <c:pt idx="23">
                  <c:v>743.6</c:v>
                </c:pt>
                <c:pt idx="24">
                  <c:v>801.5</c:v>
                </c:pt>
                <c:pt idx="25">
                  <c:v>862.2</c:v>
                </c:pt>
                <c:pt idx="26">
                  <c:v>922.5</c:v>
                </c:pt>
                <c:pt idx="27">
                  <c:v>984.7</c:v>
                </c:pt>
                <c:pt idx="28">
                  <c:v>1049</c:v>
                </c:pt>
                <c:pt idx="29">
                  <c:v>1114</c:v>
                </c:pt>
                <c:pt idx="30">
                  <c:v>1188.3</c:v>
                </c:pt>
                <c:pt idx="31">
                  <c:v>1261.3</c:v>
                </c:pt>
                <c:pt idx="32">
                  <c:v>1344.7</c:v>
                </c:pt>
                <c:pt idx="33">
                  <c:v>1435</c:v>
                </c:pt>
                <c:pt idx="34">
                  <c:v>1515</c:v>
                </c:pt>
                <c:pt idx="35">
                  <c:v>1603.2</c:v>
                </c:pt>
              </c:numCache>
            </c:numRef>
          </c:val>
        </c:ser>
        <c:ser>
          <c:idx val="3"/>
          <c:order val="3"/>
          <c:tx>
            <c:strRef>
              <c:f>'12_Cumulative'!$A$7</c:f>
              <c:strCache>
                <c:ptCount val="1"/>
                <c:pt idx="0">
                  <c:v>Direct Program</c:v>
                </c:pt>
              </c:strCache>
            </c:strRef>
          </c:tx>
          <c:spPr>
            <a:solidFill>
              <a:srgbClr val="8064A2"/>
            </a:solidFill>
            <a:ln>
              <a:noFill/>
            </a:ln>
            <a:effectLst/>
          </c:spPr>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'12_Cumulative'!$C$7:$AL$7</c:f>
              <c:numCache>
                <c:formatCode>_(* #,##0.0_);_(* \(#,##0.0\);_(* "-"??_);_(@_)</c:formatCode>
                <c:ptCount val="36"/>
                <c:pt idx="0">
                  <c:v>4.5999999999999996</c:v>
                </c:pt>
                <c:pt idx="1">
                  <c:v>9.1999999999999993</c:v>
                </c:pt>
                <c:pt idx="2">
                  <c:v>18.3</c:v>
                </c:pt>
                <c:pt idx="3">
                  <c:v>37.9</c:v>
                </c:pt>
                <c:pt idx="4">
                  <c:v>53.8</c:v>
                </c:pt>
                <c:pt idx="5">
                  <c:v>73.400000000000006</c:v>
                </c:pt>
                <c:pt idx="6">
                  <c:v>95.6</c:v>
                </c:pt>
                <c:pt idx="7">
                  <c:v>114.4</c:v>
                </c:pt>
                <c:pt idx="8">
                  <c:v>137.4</c:v>
                </c:pt>
                <c:pt idx="9">
                  <c:v>170.2</c:v>
                </c:pt>
                <c:pt idx="10">
                  <c:v>203.2</c:v>
                </c:pt>
                <c:pt idx="11">
                  <c:v>270.2</c:v>
                </c:pt>
                <c:pt idx="12">
                  <c:v>319.8</c:v>
                </c:pt>
                <c:pt idx="13">
                  <c:v>375.7</c:v>
                </c:pt>
                <c:pt idx="14">
                  <c:v>447.1</c:v>
                </c:pt>
                <c:pt idx="15">
                  <c:v>515.6</c:v>
                </c:pt>
                <c:pt idx="16">
                  <c:v>597.79999999999995</c:v>
                </c:pt>
                <c:pt idx="17">
                  <c:v>702.7</c:v>
                </c:pt>
                <c:pt idx="18">
                  <c:v>810.9</c:v>
                </c:pt>
                <c:pt idx="19">
                  <c:v>919.1</c:v>
                </c:pt>
                <c:pt idx="20">
                  <c:v>1020.2</c:v>
                </c:pt>
                <c:pt idx="21">
                  <c:v>1157.3</c:v>
                </c:pt>
                <c:pt idx="22">
                  <c:v>1298</c:v>
                </c:pt>
                <c:pt idx="23">
                  <c:v>1435.9</c:v>
                </c:pt>
                <c:pt idx="24">
                  <c:v>1571.7</c:v>
                </c:pt>
                <c:pt idx="25">
                  <c:v>1709.3</c:v>
                </c:pt>
                <c:pt idx="26">
                  <c:v>1848.8</c:v>
                </c:pt>
                <c:pt idx="27">
                  <c:v>1998</c:v>
                </c:pt>
                <c:pt idx="28">
                  <c:v>2175.9</c:v>
                </c:pt>
                <c:pt idx="29">
                  <c:v>2375.5</c:v>
                </c:pt>
                <c:pt idx="30">
                  <c:v>2596.6</c:v>
                </c:pt>
                <c:pt idx="31">
                  <c:v>2845.5</c:v>
                </c:pt>
                <c:pt idx="32">
                  <c:v>3084.2</c:v>
                </c:pt>
                <c:pt idx="33">
                  <c:v>3316</c:v>
                </c:pt>
                <c:pt idx="34">
                  <c:v>3574.5</c:v>
                </c:pt>
                <c:pt idx="35">
                  <c:v>3832.6</c:v>
                </c:pt>
              </c:numCache>
            </c:numRef>
          </c:val>
        </c:ser>
        <c:ser>
          <c:idx val="4"/>
          <c:order val="4"/>
          <c:tx>
            <c:strRef>
              <c:f>'12_Cumulative'!$A$8</c:f>
              <c:strCache>
                <c:ptCount val="1"/>
                <c:pt idx="0">
                  <c:v>Fixed Expenses</c:v>
                </c:pt>
              </c:strCache>
            </c:strRef>
          </c:tx>
          <c:spPr>
            <a:solidFill>
              <a:srgbClr val="4BACC6"/>
            </a:solidFill>
            <a:ln>
              <a:noFill/>
            </a:ln>
            <a:effectLst/>
          </c:spPr>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'12_Cumulative'!$C$8:$AL$8</c:f>
              <c:numCache>
                <c:formatCode>_(* #,##0.0_);_(* \(#,##0.0\);_(* "-"??_);_(@_)</c:formatCode>
                <c:ptCount val="36"/>
                <c:pt idx="0">
                  <c:v>32.799999999999997</c:v>
                </c:pt>
                <c:pt idx="1">
                  <c:v>61.1</c:v>
                </c:pt>
                <c:pt idx="2">
                  <c:v>77</c:v>
                </c:pt>
                <c:pt idx="3">
                  <c:v>93.6</c:v>
                </c:pt>
                <c:pt idx="4">
                  <c:v>113.8</c:v>
                </c:pt>
                <c:pt idx="5">
                  <c:v>135.4</c:v>
                </c:pt>
                <c:pt idx="6">
                  <c:v>163.9</c:v>
                </c:pt>
                <c:pt idx="7">
                  <c:v>194.9</c:v>
                </c:pt>
                <c:pt idx="8">
                  <c:v>226.8</c:v>
                </c:pt>
                <c:pt idx="9">
                  <c:v>261.10000000000002</c:v>
                </c:pt>
                <c:pt idx="10">
                  <c:v>299.3</c:v>
                </c:pt>
                <c:pt idx="11">
                  <c:v>341.2</c:v>
                </c:pt>
                <c:pt idx="12">
                  <c:v>394.8</c:v>
                </c:pt>
                <c:pt idx="13">
                  <c:v>456.1</c:v>
                </c:pt>
                <c:pt idx="14">
                  <c:v>519.70000000000005</c:v>
                </c:pt>
                <c:pt idx="15">
                  <c:v>592.79999999999995</c:v>
                </c:pt>
                <c:pt idx="16">
                  <c:v>669.1</c:v>
                </c:pt>
                <c:pt idx="17">
                  <c:v>743.2</c:v>
                </c:pt>
                <c:pt idx="18">
                  <c:v>819.3</c:v>
                </c:pt>
                <c:pt idx="19">
                  <c:v>895.6</c:v>
                </c:pt>
                <c:pt idx="20">
                  <c:v>973.8</c:v>
                </c:pt>
                <c:pt idx="21">
                  <c:v>1052</c:v>
                </c:pt>
                <c:pt idx="22">
                  <c:v>1132.5</c:v>
                </c:pt>
                <c:pt idx="23">
                  <c:v>1217.9000000000001</c:v>
                </c:pt>
                <c:pt idx="24">
                  <c:v>1307.5999999999999</c:v>
                </c:pt>
                <c:pt idx="25">
                  <c:v>1395.1</c:v>
                </c:pt>
                <c:pt idx="26">
                  <c:v>1508</c:v>
                </c:pt>
                <c:pt idx="27">
                  <c:v>1620.9</c:v>
                </c:pt>
                <c:pt idx="28">
                  <c:v>1740.9</c:v>
                </c:pt>
                <c:pt idx="29">
                  <c:v>1863.9</c:v>
                </c:pt>
                <c:pt idx="30">
                  <c:v>1991.1</c:v>
                </c:pt>
                <c:pt idx="31">
                  <c:v>2122.6</c:v>
                </c:pt>
                <c:pt idx="32">
                  <c:v>2253.6999999999998</c:v>
                </c:pt>
                <c:pt idx="33">
                  <c:v>2395</c:v>
                </c:pt>
                <c:pt idx="34">
                  <c:v>2557.9</c:v>
                </c:pt>
                <c:pt idx="35">
                  <c:v>2706.1</c:v>
                </c:pt>
              </c:numCache>
            </c:numRef>
          </c:val>
        </c:ser>
        <c:dLbls>
          <c:showLegendKey val="0"/>
          <c:showVal val="0"/>
          <c:showCatName val="0"/>
          <c:showSerName val="0"/>
          <c:showPercent val="0"/>
          <c:showBubbleSize val="0"/>
        </c:dLbls>
        <c:axId val="483682904"/>
        <c:axId val="483683296"/>
      </c:areaChart>
      <c:catAx>
        <c:axId val="483682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3296"/>
        <c:crosses val="autoZero"/>
        <c:auto val="1"/>
        <c:lblAlgn val="ctr"/>
        <c:lblOffset val="100"/>
        <c:noMultiLvlLbl val="0"/>
      </c:catAx>
      <c:valAx>
        <c:axId val="48368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(Billions)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3682904"/>
        <c:crosses val="autoZero"/>
        <c:crossBetween val="midCat"/>
      </c:valAx>
      <c:spPr>
        <a:noFill/>
        <a:ln>
          <a:noFill/>
        </a:ln>
        <a:effectLst/>
      </c:spPr>
    </c:plotArea>
    <c:legend>
      <c:legendPos val="b"/>
      <c:layout>
        <c:manualLayout>
          <c:xMode val="edge"/>
          <c:yMode val="edge"/>
          <c:x val="0.20807984800716478"/>
          <c:y val="5.7048944676536463E-2"/>
          <c:w val="0.34189400881102877"/>
          <c:h val="0.30073426640740808"/>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8567379319038"/>
          <c:y val="3.5859820700896494E-2"/>
          <c:w val="0.87779334245867058"/>
          <c:h val="0.86161656411805998"/>
        </c:manualLayout>
      </c:layout>
      <c:barChart>
        <c:barDir val="col"/>
        <c:grouping val="clustered"/>
        <c:varyColors val="0"/>
        <c:ser>
          <c:idx val="0"/>
          <c:order val="0"/>
          <c:spPr>
            <a:solidFill>
              <a:schemeClr val="accent1"/>
            </a:solidFill>
            <a:ln w="25400">
              <a:noFill/>
            </a:ln>
            <a:effectLst/>
          </c:spPr>
          <c:invertIfNegative val="0"/>
          <c:cat>
            <c:numRef>
              <c:f>'12_Cumulative'!$C$3:$AL$3</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'12_Cumulative'!$C$12:$AL$12</c:f>
              <c:numCache>
                <c:formatCode>_(* #,##0.00_);_(* \(#,##0.00\);_(* "-"??_);_(@_)</c:formatCode>
                <c:ptCount val="36"/>
                <c:pt idx="0">
                  <c:v>2.2999999999999998</c:v>
                </c:pt>
                <c:pt idx="1">
                  <c:v>4.5999999999999996</c:v>
                </c:pt>
                <c:pt idx="2">
                  <c:v>9.1000000000000014</c:v>
                </c:pt>
                <c:pt idx="3">
                  <c:v>19.599999999999998</c:v>
                </c:pt>
                <c:pt idx="4">
                  <c:v>15.899999999999999</c:v>
                </c:pt>
                <c:pt idx="5">
                  <c:v>19.600000000000009</c:v>
                </c:pt>
                <c:pt idx="6">
                  <c:v>22.199999999999989</c:v>
                </c:pt>
                <c:pt idx="7">
                  <c:v>18.800000000000011</c:v>
                </c:pt>
                <c:pt idx="8">
                  <c:v>23</c:v>
                </c:pt>
                <c:pt idx="9">
                  <c:v>32.799999999999983</c:v>
                </c:pt>
                <c:pt idx="10">
                  <c:v>33</c:v>
                </c:pt>
                <c:pt idx="11">
                  <c:v>67</c:v>
                </c:pt>
                <c:pt idx="12">
                  <c:v>49.600000000000023</c:v>
                </c:pt>
                <c:pt idx="13">
                  <c:v>55.899999999999977</c:v>
                </c:pt>
                <c:pt idx="14">
                  <c:v>71.400000000000034</c:v>
                </c:pt>
                <c:pt idx="15">
                  <c:v>68.5</c:v>
                </c:pt>
                <c:pt idx="16">
                  <c:v>82.199999999999932</c:v>
                </c:pt>
                <c:pt idx="17">
                  <c:v>104.90000000000009</c:v>
                </c:pt>
                <c:pt idx="18">
                  <c:v>108.19999999999993</c:v>
                </c:pt>
                <c:pt idx="19">
                  <c:v>108.20000000000005</c:v>
                </c:pt>
                <c:pt idx="20">
                  <c:v>101.10000000000002</c:v>
                </c:pt>
                <c:pt idx="21">
                  <c:v>137.09999999999991</c:v>
                </c:pt>
                <c:pt idx="22">
                  <c:v>140.70000000000005</c:v>
                </c:pt>
                <c:pt idx="23">
                  <c:v>137.90000000000009</c:v>
                </c:pt>
                <c:pt idx="24">
                  <c:v>135.79999999999995</c:v>
                </c:pt>
                <c:pt idx="25">
                  <c:v>137.59999999999991</c:v>
                </c:pt>
                <c:pt idx="26">
                  <c:v>139.5</c:v>
                </c:pt>
                <c:pt idx="27">
                  <c:v>149.20000000000005</c:v>
                </c:pt>
                <c:pt idx="28">
                  <c:v>177.90000000000009</c:v>
                </c:pt>
                <c:pt idx="29">
                  <c:v>199.59999999999991</c:v>
                </c:pt>
                <c:pt idx="30">
                  <c:v>221.09999999999991</c:v>
                </c:pt>
                <c:pt idx="31">
                  <c:v>248.90000000000009</c:v>
                </c:pt>
                <c:pt idx="32">
                  <c:v>238.69999999999982</c:v>
                </c:pt>
                <c:pt idx="33">
                  <c:v>231.80000000000018</c:v>
                </c:pt>
                <c:pt idx="34">
                  <c:v>258.5</c:v>
                </c:pt>
                <c:pt idx="35">
                  <c:v>258.09999999999991</c:v>
                </c:pt>
              </c:numCache>
            </c:numRef>
          </c:val>
        </c:ser>
        <c:dLbls>
          <c:showLegendKey val="0"/>
          <c:showVal val="0"/>
          <c:showCatName val="0"/>
          <c:showSerName val="0"/>
          <c:showPercent val="0"/>
          <c:showBubbleSize val="0"/>
        </c:dLbls>
        <c:gapWidth val="150"/>
        <c:axId val="625337248"/>
        <c:axId val="625337640"/>
      </c:barChart>
      <c:catAx>
        <c:axId val="625337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640"/>
        <c:crosses val="autoZero"/>
        <c:auto val="1"/>
        <c:lblAlgn val="ctr"/>
        <c:lblOffset val="100"/>
        <c:noMultiLvlLbl val="0"/>
      </c:catAx>
      <c:valAx>
        <c:axId val="625337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r>
                  <a:rPr lang="en-US">
                    <a:latin typeface="Century Gothic" panose="020B0502020202020204" pitchFamily="34" charset="0"/>
                  </a:rPr>
                  <a:t>(millions)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25337248"/>
        <c:crosses val="autoZero"/>
        <c:crossBetween val="between"/>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chemeClr val="bg2">
                  <a:lumMod val="50000"/>
                </a:schemeClr>
              </a:solidFill>
              <a:effectLst>
                <a:outerShdw blurRad="50800" dist="38100" dir="2700000" algn="tl" rotWithShape="0">
                  <a:prstClr val="black">
                    <a:alpha val="40000"/>
                  </a:prstClr>
                </a:outerShdw>
              </a:effectLst>
            </c:spPr>
          </c:dPt>
          <c:dLbls>
            <c:dLbl>
              <c:idx val="0"/>
              <c:layout>
                <c:manualLayout>
                  <c:x val="-0.17993872279909234"/>
                  <c:y val="-0.17573434683508365"/>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8.5034482385315815E-2"/>
                  <c:y val="-6.6119787860855761E-3"/>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14473256579979293"/>
                  <c:y val="0.1183546378439229"/>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10152078082626982"/>
                  <c:y val="7.5664811527259693E-2"/>
                </c:manualLayout>
              </c:layou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9.8877342934363843E-2"/>
                  <c:y val="0.10504377646224888"/>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5.1961478792846072E-2"/>
                  <c:y val="0.10466195375213147"/>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2.227195113621952E-2"/>
                  <c:y val="9.4337797191409556E-2"/>
                </c:manualLayout>
              </c:layout>
              <c:showLegendKey val="0"/>
              <c:showVal val="1"/>
              <c:showCatName val="1"/>
              <c:showSerName val="0"/>
              <c:showPercent val="0"/>
              <c:showBubbleSize val="0"/>
              <c:separator>
</c:separator>
              <c:extLst>
                <c:ext xmlns:c15="http://schemas.microsoft.com/office/drawing/2012/chart" uri="{CE6537A1-D6FC-4f65-9D91-7224C49458BB}"/>
              </c:extLst>
            </c:dLbl>
            <c:numFmt formatCode="&quot;$&quot;#,,\ &quot;million&quot;"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'2_SpeciesType'!$A$32:$A$35</c:f>
              <c:strCache>
                <c:ptCount val="4"/>
                <c:pt idx="0">
                  <c:v>Anadromous Fish</c:v>
                </c:pt>
                <c:pt idx="1">
                  <c:v>Resident Fish</c:v>
                </c:pt>
                <c:pt idx="2">
                  <c:v>Wildlife</c:v>
                </c:pt>
                <c:pt idx="3">
                  <c:v>Program Support</c:v>
                </c:pt>
              </c:strCache>
            </c:strRef>
          </c:cat>
          <c:val>
            <c:numRef>
              <c:f>'2_SpeciesType'!$B$32:$B$35</c:f>
              <c:numCache>
                <c:formatCode>"$"#,##0</c:formatCode>
                <c:ptCount val="4"/>
                <c:pt idx="0">
                  <c:v>192011697</c:v>
                </c:pt>
                <c:pt idx="1">
                  <c:v>45476702</c:v>
                </c:pt>
                <c:pt idx="2">
                  <c:v>23068495</c:v>
                </c:pt>
                <c:pt idx="3">
                  <c:v>13615279.620000001</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797519336631601"/>
          <c:y val="4.6024135251250015E-2"/>
          <c:w val="0.82606610456878748"/>
          <c:h val="0.84602442851068216"/>
        </c:manualLayout>
      </c:layout>
      <c:barChart>
        <c:barDir val="col"/>
        <c:grouping val="stacked"/>
        <c:varyColors val="0"/>
        <c:ser>
          <c:idx val="0"/>
          <c:order val="0"/>
          <c:tx>
            <c:strRef>
              <c:f>'3_FCRPS'!$A$3</c:f>
              <c:strCache>
                <c:ptCount val="1"/>
                <c:pt idx="0">
                  <c:v>Expense</c:v>
                </c:pt>
              </c:strCache>
            </c:strRef>
          </c:tx>
          <c:spPr>
            <a:effectLst>
              <a:outerShdw blurRad="50800" dist="38100" algn="l" rotWithShape="0">
                <a:prstClr val="black">
                  <a:alpha val="40000"/>
                </a:prstClr>
              </a:outerShdw>
            </a:effectLst>
          </c:spPr>
          <c:invertIfNegative val="0"/>
          <c:dLbls>
            <c:numFmt formatCode="&quot;$&quot;#,," sourceLinked="0"/>
            <c:spPr>
              <a:solidFill>
                <a:sysClr val="window" lastClr="FFFFFF">
                  <a:alpha val="63000"/>
                </a:sysClr>
              </a:solidFill>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'3_FCRPS'!$B$8:$I$8</c:f>
              <c:strCache>
                <c:ptCount val="8"/>
                <c:pt idx="0">
                  <c:v>2009</c:v>
                </c:pt>
                <c:pt idx="1">
                  <c:v>2010</c:v>
                </c:pt>
                <c:pt idx="2">
                  <c:v>2011</c:v>
                </c:pt>
                <c:pt idx="3">
                  <c:v>2012</c:v>
                </c:pt>
                <c:pt idx="4">
                  <c:v>2013</c:v>
                </c:pt>
                <c:pt idx="5">
                  <c:v>2014</c:v>
                </c:pt>
                <c:pt idx="6">
                  <c:v>2015</c:v>
                </c:pt>
                <c:pt idx="7">
                  <c:v>2016</c:v>
                </c:pt>
              </c:strCache>
            </c:strRef>
          </c:cat>
          <c:val>
            <c:numRef>
              <c:f>'3_FCRPS'!$B$3:$I$3</c:f>
              <c:numCache>
                <c:formatCode>"$"#,##0</c:formatCode>
                <c:ptCount val="8"/>
                <c:pt idx="0">
                  <c:v>113900603</c:v>
                </c:pt>
                <c:pt idx="1">
                  <c:v>129758323</c:v>
                </c:pt>
                <c:pt idx="2">
                  <c:v>143477289</c:v>
                </c:pt>
                <c:pt idx="3">
                  <c:v>162060445</c:v>
                </c:pt>
                <c:pt idx="4">
                  <c:v>151177409</c:v>
                </c:pt>
                <c:pt idx="5">
                  <c:v>143128947.90000001</c:v>
                </c:pt>
                <c:pt idx="6">
                  <c:v>165362220.78999999</c:v>
                </c:pt>
                <c:pt idx="7">
                  <c:v>159987743.56999999</c:v>
                </c:pt>
              </c:numCache>
            </c:numRef>
          </c:val>
        </c:ser>
        <c:ser>
          <c:idx val="1"/>
          <c:order val="1"/>
          <c:tx>
            <c:strRef>
              <c:f>'3_FCRPS'!$A$4</c:f>
              <c:strCache>
                <c:ptCount val="1"/>
                <c:pt idx="0">
                  <c:v>Capital</c:v>
                </c:pt>
              </c:strCache>
            </c:strRef>
          </c:tx>
          <c:spPr>
            <a:effectLst>
              <a:outerShdw blurRad="50800" dist="38100" algn="l" rotWithShape="0">
                <a:prstClr val="black">
                  <a:alpha val="40000"/>
                </a:prstClr>
              </a:outerShdw>
            </a:effectLst>
          </c:spPr>
          <c:invertIfNegative val="0"/>
          <c:dLbls>
            <c:dLbl>
              <c:idx val="0"/>
              <c:layout>
                <c:manualLayout>
                  <c:x val="0"/>
                  <c:y val="-5.048255382331110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2666659499563759E-3"/>
                  <c:y val="-7.1269721574335504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8.314773570898295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8.9086859688196018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8.3147735708982998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8221305463337962E-17"/>
                  <c:y val="-4.454342984409799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5.345211581291759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2.6726057906458798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quot;$&quot;#,," sourceLinked="0"/>
            <c:spPr>
              <a:noFill/>
              <a:ln>
                <a:noFill/>
              </a:ln>
              <a:effectLst/>
            </c:spPr>
            <c:txPr>
              <a:bodyPr/>
              <a:lstStyle/>
              <a:p>
                <a:pPr>
                  <a:defRPr sz="1200">
                    <a:solidFill>
                      <a:schemeClr val="bg1">
                        <a:lumMod val="50000"/>
                      </a:schemeClr>
                    </a:solidFill>
                    <a:latin typeface="Century Gothic"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'3_FCRPS'!$B$8:$I$8</c:f>
              <c:strCache>
                <c:ptCount val="8"/>
                <c:pt idx="0">
                  <c:v>2009</c:v>
                </c:pt>
                <c:pt idx="1">
                  <c:v>2010</c:v>
                </c:pt>
                <c:pt idx="2">
                  <c:v>2011</c:v>
                </c:pt>
                <c:pt idx="3">
                  <c:v>2012</c:v>
                </c:pt>
                <c:pt idx="4">
                  <c:v>2013</c:v>
                </c:pt>
                <c:pt idx="5">
                  <c:v>2014</c:v>
                </c:pt>
                <c:pt idx="6">
                  <c:v>2015</c:v>
                </c:pt>
                <c:pt idx="7">
                  <c:v>2016</c:v>
                </c:pt>
              </c:strCache>
            </c:strRef>
          </c:cat>
          <c:val>
            <c:numRef>
              <c:f>'3_FCRPS'!$B$4:$I$4</c:f>
              <c:numCache>
                <c:formatCode>"$"#,##0</c:formatCode>
                <c:ptCount val="8"/>
                <c:pt idx="0">
                  <c:v>11668863</c:v>
                </c:pt>
                <c:pt idx="1">
                  <c:v>21761323</c:v>
                </c:pt>
                <c:pt idx="2">
                  <c:v>31297548</c:v>
                </c:pt>
                <c:pt idx="3">
                  <c:v>29240867</c:v>
                </c:pt>
                <c:pt idx="4">
                  <c:v>29683425</c:v>
                </c:pt>
                <c:pt idx="5">
                  <c:v>5925196.1100000003</c:v>
                </c:pt>
                <c:pt idx="6">
                  <c:v>7703153.2699999996</c:v>
                </c:pt>
                <c:pt idx="7">
                  <c:v>1249955.1399999999</c:v>
                </c:pt>
              </c:numCache>
            </c:numRef>
          </c:val>
        </c:ser>
        <c:dLbls>
          <c:showLegendKey val="0"/>
          <c:showVal val="0"/>
          <c:showCatName val="0"/>
          <c:showSerName val="0"/>
          <c:showPercent val="0"/>
          <c:showBubbleSize val="0"/>
        </c:dLbls>
        <c:gapWidth val="76"/>
        <c:overlap val="100"/>
        <c:axId val="483676240"/>
        <c:axId val="483676632"/>
      </c:barChart>
      <c:catAx>
        <c:axId val="483676240"/>
        <c:scaling>
          <c:orientation val="minMax"/>
        </c:scaling>
        <c:delete val="0"/>
        <c:axPos val="b"/>
        <c:numFmt formatCode="General" sourceLinked="1"/>
        <c:majorTickMark val="out"/>
        <c:minorTickMark val="none"/>
        <c:tickLblPos val="nextTo"/>
        <c:txPr>
          <a:bodyPr/>
          <a:lstStyle/>
          <a:p>
            <a:pPr>
              <a:defRPr sz="1200">
                <a:solidFill>
                  <a:schemeClr val="bg1">
                    <a:lumMod val="50000"/>
                  </a:schemeClr>
                </a:solidFill>
                <a:latin typeface="Century Gothic" pitchFamily="34" charset="0"/>
              </a:defRPr>
            </a:pPr>
            <a:endParaRPr lang="en-US"/>
          </a:p>
        </c:txPr>
        <c:crossAx val="483676632"/>
        <c:crosses val="autoZero"/>
        <c:auto val="1"/>
        <c:lblAlgn val="ctr"/>
        <c:lblOffset val="100"/>
        <c:noMultiLvlLbl val="0"/>
      </c:catAx>
      <c:valAx>
        <c:axId val="483676632"/>
        <c:scaling>
          <c:orientation val="minMax"/>
        </c:scaling>
        <c:delete val="0"/>
        <c:axPos val="l"/>
        <c:majorGridlines>
          <c:spPr>
            <a:ln>
              <a:solidFill>
                <a:schemeClr val="bg1">
                  <a:lumMod val="65000"/>
                </a:schemeClr>
              </a:solidFill>
            </a:ln>
          </c:spPr>
        </c:majorGridlines>
        <c:title>
          <c:tx>
            <c:rich>
              <a:bodyPr rot="-5400000" vert="horz"/>
              <a:lstStyle/>
              <a:p>
                <a:pPr>
                  <a:defRPr/>
                </a:pPr>
                <a:r>
                  <a:rPr lang="en-US" sz="1200" b="0">
                    <a:solidFill>
                      <a:schemeClr val="bg1">
                        <a:lumMod val="50000"/>
                      </a:schemeClr>
                    </a:solidFill>
                    <a:latin typeface="Century Gothic" pitchFamily="34" charset="0"/>
                  </a:rPr>
                  <a:t>(Millions)</a:t>
                </a:r>
              </a:p>
            </c:rich>
          </c:tx>
          <c:layout/>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6240"/>
        <c:crosses val="autoZero"/>
        <c:crossBetween val="between"/>
      </c:valAx>
    </c:plotArea>
    <c:legend>
      <c:legendPos val="l"/>
      <c:layout>
        <c:manualLayout>
          <c:xMode val="edge"/>
          <c:yMode val="edge"/>
          <c:x val="0.15811209439528029"/>
          <c:y val="6.7661402659863062E-2"/>
          <c:w val="0.3111032448377582"/>
          <c:h val="0.12407396002873947"/>
        </c:manualLayout>
      </c:layout>
      <c:overlay val="0"/>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775091735066583"/>
          <c:y val="1.1144733600781056E-2"/>
          <c:w val="0.59880164245374734"/>
          <c:h val="0.90996883140904061"/>
        </c:manualLayout>
      </c:layout>
      <c:barChart>
        <c:barDir val="bar"/>
        <c:grouping val="stacked"/>
        <c:varyColors val="0"/>
        <c:ser>
          <c:idx val="0"/>
          <c:order val="0"/>
          <c:tx>
            <c:v>Expense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Chub, Oregon (endangered)</c:v>
                </c:pt>
                <c:pt idx="14">
                  <c:v>Cutthroat Trout, Lahontan (threatened)</c:v>
                </c:pt>
                <c:pt idx="15">
                  <c:v>Sturgeon, White - Kootenai River DPS (endangered)</c:v>
                </c:pt>
                <c:pt idx="16">
                  <c:v>Trout, Bull (threatened)</c:v>
                </c:pt>
              </c:strCache>
            </c:strRef>
          </c:cat>
          <c:val>
            <c:numRef>
              <c:f>'4_ESASpecies'!$D$3:$D$19</c:f>
              <c:numCache>
                <c:formatCode>"$"#,##0_);[Red]\("$"#,##0\)</c:formatCode>
                <c:ptCount val="17"/>
                <c:pt idx="0">
                  <c:v>7303827.6002874002</c:v>
                </c:pt>
                <c:pt idx="1">
                  <c:v>11623677.681475341</c:v>
                </c:pt>
                <c:pt idx="2">
                  <c:v>26087839.63133556</c:v>
                </c:pt>
                <c:pt idx="3">
                  <c:v>15320182.68465486</c:v>
                </c:pt>
                <c:pt idx="4">
                  <c:v>5693956.3788000504</c:v>
                </c:pt>
                <c:pt idx="5">
                  <c:v>4778083.0616537621</c:v>
                </c:pt>
                <c:pt idx="6">
                  <c:v>5278102.6554804016</c:v>
                </c:pt>
                <c:pt idx="7">
                  <c:v>8109668.7249763999</c:v>
                </c:pt>
                <c:pt idx="8">
                  <c:v>7000627.0418219399</c:v>
                </c:pt>
                <c:pt idx="9">
                  <c:v>40800584.437756598</c:v>
                </c:pt>
                <c:pt idx="10">
                  <c:v>26000208.786018729</c:v>
                </c:pt>
                <c:pt idx="11">
                  <c:v>14662432.9306162</c:v>
                </c:pt>
                <c:pt idx="12">
                  <c:v>4555270.5848924899</c:v>
                </c:pt>
                <c:pt idx="13">
                  <c:v>608212</c:v>
                </c:pt>
                <c:pt idx="14">
                  <c:v>1870763</c:v>
                </c:pt>
                <c:pt idx="15">
                  <c:v>14290437</c:v>
                </c:pt>
                <c:pt idx="16">
                  <c:v>15779856</c:v>
                </c:pt>
              </c:numCache>
            </c:numRef>
          </c:val>
        </c:ser>
        <c:ser>
          <c:idx val="1"/>
          <c:order val="1"/>
          <c:tx>
            <c:v>Capital Total Spending</c:v>
          </c:tx>
          <c:spPr>
            <a:effectLst>
              <a:outerShdw blurRad="50800" dist="38100" dir="5400000" algn="t" rotWithShape="0">
                <a:prstClr val="black">
                  <a:alpha val="40000"/>
                </a:prstClr>
              </a:outerShdw>
            </a:effectLst>
          </c:spPr>
          <c:invertIfNegative val="0"/>
          <c:cat>
            <c:strRef>
              <c:f>'4_ESASpecies'!$A$3:$A$19</c:f>
              <c:strCache>
                <c:ptCount val="17"/>
                <c:pt idx="0">
                  <c:v>Chinook - Lower Columbia River ESU (threatened)</c:v>
                </c:pt>
                <c:pt idx="1">
                  <c:v>Chinook - Snake River Fall ESU (threatened)</c:v>
                </c:pt>
                <c:pt idx="2">
                  <c:v>Chinook - Snake River Spring/Summer ESU (threatened)</c:v>
                </c:pt>
                <c:pt idx="3">
                  <c:v>Chinook - Upper Columbia River Spring ESU (endangered)</c:v>
                </c:pt>
                <c:pt idx="4">
                  <c:v>Chinook - Upper Willamette River ESU (threatened)</c:v>
                </c:pt>
                <c:pt idx="5">
                  <c:v>Chum - Columbia River ESU (threatened)</c:v>
                </c:pt>
                <c:pt idx="6">
                  <c:v>Coho - Lower Columbia River ESU (threatened)</c:v>
                </c:pt>
                <c:pt idx="7">
                  <c:v>Sockeye - Snake River ESU (endangered)</c:v>
                </c:pt>
                <c:pt idx="8">
                  <c:v>Steelhead - Lower Columbia River DPS (threatened)</c:v>
                </c:pt>
                <c:pt idx="9">
                  <c:v>Steelhead - Middle Columbia River DPS (threatened)</c:v>
                </c:pt>
                <c:pt idx="10">
                  <c:v>Steelhead - Snake River DPS (threatened)</c:v>
                </c:pt>
                <c:pt idx="11">
                  <c:v>Steelhead - Upper Columbia River DPS (threatened)</c:v>
                </c:pt>
                <c:pt idx="12">
                  <c:v>Steelhead - Upper Willamette River DPS (threatened)</c:v>
                </c:pt>
                <c:pt idx="13">
                  <c:v>Chub, Oregon (endangered)</c:v>
                </c:pt>
                <c:pt idx="14">
                  <c:v>Cutthroat Trout, Lahontan (threatened)</c:v>
                </c:pt>
                <c:pt idx="15">
                  <c:v>Sturgeon, White - Kootenai River DPS (endangered)</c:v>
                </c:pt>
                <c:pt idx="16">
                  <c:v>Trout, Bull (threatened)</c:v>
                </c:pt>
              </c:strCache>
            </c:strRef>
          </c:cat>
          <c:val>
            <c:numRef>
              <c:f>'4_ESASpecies'!$G$3:$G$19</c:f>
              <c:numCache>
                <c:formatCode>"$"#,##0_);[Red]\("$"#,##0\)</c:formatCode>
                <c:ptCount val="17"/>
                <c:pt idx="0">
                  <c:v>-222897.90100000001</c:v>
                </c:pt>
                <c:pt idx="1">
                  <c:v>0</c:v>
                </c:pt>
                <c:pt idx="2">
                  <c:v>-25881.735000000001</c:v>
                </c:pt>
                <c:pt idx="3">
                  <c:v>839796.64199999999</c:v>
                </c:pt>
                <c:pt idx="4">
                  <c:v>0</c:v>
                </c:pt>
                <c:pt idx="5">
                  <c:v>0</c:v>
                </c:pt>
                <c:pt idx="6">
                  <c:v>36246.974999999999</c:v>
                </c:pt>
                <c:pt idx="7">
                  <c:v>0</c:v>
                </c:pt>
                <c:pt idx="8">
                  <c:v>3769.2180000000008</c:v>
                </c:pt>
                <c:pt idx="9">
                  <c:v>317175.45799999998</c:v>
                </c:pt>
                <c:pt idx="10">
                  <c:v>-25881.703000000001</c:v>
                </c:pt>
                <c:pt idx="11">
                  <c:v>114400.08900000001</c:v>
                </c:pt>
                <c:pt idx="12">
                  <c:v>3.2000000000000001E-2</c:v>
                </c:pt>
                <c:pt idx="13">
                  <c:v>0</c:v>
                </c:pt>
                <c:pt idx="14">
                  <c:v>0</c:v>
                </c:pt>
                <c:pt idx="15">
                  <c:v>32432.001</c:v>
                </c:pt>
                <c:pt idx="16">
                  <c:v>2118964.3139999998</c:v>
                </c:pt>
              </c:numCache>
            </c:numRef>
          </c:val>
        </c:ser>
        <c:dLbls>
          <c:showLegendKey val="0"/>
          <c:showVal val="0"/>
          <c:showCatName val="0"/>
          <c:showSerName val="0"/>
          <c:showPercent val="0"/>
          <c:showBubbleSize val="0"/>
        </c:dLbls>
        <c:gapWidth val="76"/>
        <c:overlap val="100"/>
        <c:axId val="483677416"/>
        <c:axId val="483677808"/>
      </c:barChart>
      <c:catAx>
        <c:axId val="483677416"/>
        <c:scaling>
          <c:orientation val="minMax"/>
        </c:scaling>
        <c:delete val="0"/>
        <c:axPos val="l"/>
        <c:numFmt formatCode="General" sourceLinked="1"/>
        <c:majorTickMark val="out"/>
        <c:minorTickMark val="none"/>
        <c:tickLblPos val="nextTo"/>
        <c:txPr>
          <a:bodyPr/>
          <a:lstStyle/>
          <a:p>
            <a:pPr>
              <a:defRPr sz="900">
                <a:solidFill>
                  <a:schemeClr val="bg1">
                    <a:lumMod val="50000"/>
                  </a:schemeClr>
                </a:solidFill>
                <a:latin typeface="Century Gothic" pitchFamily="34" charset="0"/>
              </a:defRPr>
            </a:pPr>
            <a:endParaRPr lang="en-US"/>
          </a:p>
        </c:txPr>
        <c:crossAx val="483677808"/>
        <c:crosses val="autoZero"/>
        <c:auto val="1"/>
        <c:lblAlgn val="ctr"/>
        <c:lblOffset val="100"/>
        <c:noMultiLvlLbl val="0"/>
      </c:catAx>
      <c:valAx>
        <c:axId val="483677808"/>
        <c:scaling>
          <c:orientation val="minMax"/>
          <c:min val="0"/>
        </c:scaling>
        <c:delete val="0"/>
        <c:axPos val="b"/>
        <c:majorGridlines>
          <c:spPr>
            <a:ln>
              <a:solidFill>
                <a:schemeClr val="bg1">
                  <a:lumMod val="65000"/>
                </a:schemeClr>
              </a:solidFill>
            </a:ln>
          </c:spPr>
        </c:majorGridlines>
        <c:title>
          <c:tx>
            <c:rich>
              <a:bodyPr rot="0" vert="horz"/>
              <a:lstStyle/>
              <a:p>
                <a:pPr>
                  <a:defRPr/>
                </a:pPr>
                <a:r>
                  <a:rPr lang="en-US" sz="1200" b="0">
                    <a:solidFill>
                      <a:schemeClr val="bg1">
                        <a:lumMod val="50000"/>
                      </a:schemeClr>
                    </a:solidFill>
                    <a:latin typeface="Century Gothic" pitchFamily="34" charset="0"/>
                  </a:rPr>
                  <a:t>(Millions)</a:t>
                </a:r>
              </a:p>
            </c:rich>
          </c:tx>
          <c:overlay val="0"/>
        </c:title>
        <c:numFmt formatCode="&quot;$&quot;#,##0,," sourceLinked="0"/>
        <c:majorTickMark val="out"/>
        <c:minorTickMark val="none"/>
        <c:tickLblPos val="nextTo"/>
        <c:spPr>
          <a:ln>
            <a:solidFill>
              <a:schemeClr val="bg1">
                <a:lumMod val="65000"/>
              </a:schemeClr>
            </a:solidFill>
          </a:ln>
        </c:spPr>
        <c:txPr>
          <a:bodyPr/>
          <a:lstStyle/>
          <a:p>
            <a:pPr>
              <a:defRPr sz="1200">
                <a:solidFill>
                  <a:schemeClr val="bg1">
                    <a:lumMod val="50000"/>
                  </a:schemeClr>
                </a:solidFill>
                <a:latin typeface="Century Gothic" pitchFamily="34" charset="0"/>
              </a:defRPr>
            </a:pPr>
            <a:endParaRPr lang="en-US"/>
          </a:p>
        </c:txPr>
        <c:crossAx val="483677416"/>
        <c:crosses val="autoZero"/>
        <c:crossBetween val="between"/>
        <c:majorUnit val="10000000"/>
      </c:valAx>
      <c:spPr>
        <a:ln>
          <a:solidFill>
            <a:sysClr val="window" lastClr="FFFFFF">
              <a:lumMod val="65000"/>
            </a:sysClr>
          </a:solidFill>
        </a:ln>
      </c:spPr>
    </c:plotArea>
    <c:legend>
      <c:legendPos val="l"/>
      <c:layout>
        <c:manualLayout>
          <c:xMode val="edge"/>
          <c:yMode val="edge"/>
          <c:x val="0.69723702971060098"/>
          <c:y val="0.14080663148345279"/>
          <c:w val="0.23389830508474579"/>
          <c:h val="0.14342258148864453"/>
        </c:manualLayout>
      </c:layout>
      <c:overlay val="0"/>
      <c:spPr>
        <a:solidFill>
          <a:sysClr val="window" lastClr="FFFFFF"/>
        </a:solidFill>
      </c:spPr>
      <c:txPr>
        <a:bodyPr/>
        <a:lstStyle/>
        <a:p>
          <a:pPr>
            <a:defRPr sz="1200">
              <a:solidFill>
                <a:schemeClr val="bg1">
                  <a:lumMod val="50000"/>
                </a:schemeClr>
              </a:solidFill>
              <a:latin typeface="Century Gothic" pitchFamily="34"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97355961978856231"/>
          <c:h val="0.9590942271070512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chemeClr val="accent4">
                  <a:lumMod val="60000"/>
                  <a:lumOff val="40000"/>
                </a:scheme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chemeClr val="bg2">
                  <a:lumMod val="50000"/>
                </a:schemeClr>
              </a:solidFill>
              <a:effectLst>
                <a:outerShdw blurRad="50800" dist="38100" dir="2700000" algn="tl" rotWithShape="0">
                  <a:prstClr val="black">
                    <a:alpha val="40000"/>
                  </a:prstClr>
                </a:outerShdw>
              </a:effectLst>
            </c:spPr>
          </c:dPt>
          <c:dLbls>
            <c:dLbl>
              <c:idx val="0"/>
              <c:layout>
                <c:manualLayout>
                  <c:x val="-0.14808442080308587"/>
                  <c:y val="0.1048567789421137"/>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1.3359475483891159E-2"/>
                  <c:y val="-0.14893605185522615"/>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9.9551191559222402E-2"/>
                  <c:y val="-5.8553872772895213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3"/>
              <c:layout>
                <c:manualLayout>
                  <c:x val="0.14127544196388542"/>
                  <c:y val="0.1360249698780944"/>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4"/>
              <c:layout>
                <c:manualLayout>
                  <c:x val="7.7638004412794961E-2"/>
                  <c:y val="6.543794619614407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5"/>
              <c:layout>
                <c:manualLayout>
                  <c:x val="5.1961478792846072E-2"/>
                  <c:y val="0.10466195375213147"/>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6"/>
              <c:layout>
                <c:manualLayout>
                  <c:x val="2.227195113621952E-2"/>
                  <c:y val="9.4337797191409556E-2"/>
                </c:manualLayout>
              </c:layout>
              <c:showLegendKey val="0"/>
              <c:showVal val="1"/>
              <c:showCatName val="1"/>
              <c:showSerName val="0"/>
              <c:showPercent val="1"/>
              <c:showBubbleSize val="0"/>
              <c:separator>
</c:separator>
              <c:extLst>
                <c:ext xmlns:c15="http://schemas.microsoft.com/office/drawing/2012/chart" uri="{CE6537A1-D6FC-4f65-9D91-7224C49458BB}"/>
              </c:extLst>
            </c:dLbl>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'5_Fund'!$A$20:$A$24</c:f>
              <c:strCache>
                <c:ptCount val="5"/>
                <c:pt idx="0">
                  <c:v>Total BiOp (non Accord)</c:v>
                </c:pt>
                <c:pt idx="1">
                  <c:v>Accords - BiOp</c:v>
                </c:pt>
                <c:pt idx="2">
                  <c:v>Accords - non-BiOp</c:v>
                </c:pt>
                <c:pt idx="3">
                  <c:v>Total General</c:v>
                </c:pt>
                <c:pt idx="4">
                  <c:v>Total BPA Overhead</c:v>
                </c:pt>
              </c:strCache>
            </c:strRef>
          </c:cat>
          <c:val>
            <c:numRef>
              <c:f>'5_Fund'!$B$20:$B$24</c:f>
              <c:numCache>
                <c:formatCode>"$"#,,\ "million"</c:formatCode>
                <c:ptCount val="5"/>
                <c:pt idx="0">
                  <c:v>104327574.5</c:v>
                </c:pt>
                <c:pt idx="1">
                  <c:v>56949840.909999996</c:v>
                </c:pt>
                <c:pt idx="2">
                  <c:v>48852497.590000004</c:v>
                </c:pt>
                <c:pt idx="3">
                  <c:v>46978408.5</c:v>
                </c:pt>
                <c:pt idx="4">
                  <c:v>17063852.5</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rgbClr val="4BACC6">
                  <a:lumMod val="60000"/>
                  <a:lumOff val="40000"/>
                </a:srgb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ysClr val="window" lastClr="FFFFFF">
                  <a:lumMod val="50000"/>
                </a:sysClr>
              </a:solidFill>
              <a:effectLst>
                <a:outerShdw blurRad="50800" dist="38100" dir="2700000" algn="tl" rotWithShape="0">
                  <a:prstClr val="black">
                    <a:alpha val="40000"/>
                  </a:prstClr>
                </a:outerShdw>
              </a:effectLst>
            </c:spPr>
          </c:dPt>
          <c:dLbls>
            <c:dLbl>
              <c:idx val="0"/>
              <c:layout>
                <c:manualLayout>
                  <c:x val="-8.108108589325172E-2"/>
                  <c:y val="4.029137145329427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0.190126575967837"/>
                  <c:y val="0.1930502652582286"/>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3.3982860876826573E-2"/>
                  <c:y val="5.8766323657455571E-2"/>
                </c:manualLayout>
              </c:layout>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9729167668199679"/>
                      <c:h val="0.14441207069542464"/>
                    </c:manualLayout>
                  </c15:layout>
                </c:ext>
              </c:extLst>
            </c:dLbl>
            <c:dLbl>
              <c:idx val="3"/>
              <c:layout>
                <c:manualLayout>
                  <c:x val="-0.14698044473407304"/>
                  <c:y val="-0.21875166292500506"/>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Lst>
            </c:dLbl>
            <c:numFmt formatCode="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'6a_Category'!$J$3:$J$11</c:f>
              <c:strCache>
                <c:ptCount val="9"/>
                <c:pt idx="0">
                  <c:v>Coordination (Local/Regional)</c:v>
                </c:pt>
                <c:pt idx="1">
                  <c:v>Coordination (BPA Overhead)</c:v>
                </c:pt>
                <c:pt idx="2">
                  <c:v>Data Management</c:v>
                </c:pt>
                <c:pt idx="3">
                  <c:v>Habitat (Restoration/Protection)</c:v>
                </c:pt>
                <c:pt idx="4">
                  <c:v>Harvest Augmentation</c:v>
                </c:pt>
                <c:pt idx="5">
                  <c:v>Production (Supplementation)</c:v>
                </c:pt>
                <c:pt idx="6">
                  <c:v>Law Enforcement</c:v>
                </c:pt>
                <c:pt idx="7">
                  <c:v>Predator Removal</c:v>
                </c:pt>
                <c:pt idx="8">
                  <c:v>Research, Monitoring and Evaluation</c:v>
                </c:pt>
              </c:strCache>
            </c:strRef>
          </c:cat>
          <c:val>
            <c:numRef>
              <c:f>'6a_Category'!$I$3:$I$11</c:f>
              <c:numCache>
                <c:formatCode>"$"#.0,,\ "million"</c:formatCode>
                <c:ptCount val="9"/>
                <c:pt idx="0">
                  <c:v>13778449.640000001</c:v>
                </c:pt>
                <c:pt idx="1">
                  <c:v>15213334.890000001</c:v>
                </c:pt>
                <c:pt idx="2">
                  <c:v>4221434.1500000004</c:v>
                </c:pt>
                <c:pt idx="3">
                  <c:v>117933009.17</c:v>
                </c:pt>
                <c:pt idx="4">
                  <c:v>4206148.1500000004</c:v>
                </c:pt>
                <c:pt idx="5">
                  <c:v>31490426.289999999</c:v>
                </c:pt>
                <c:pt idx="6">
                  <c:v>800716.80000000005</c:v>
                </c:pt>
                <c:pt idx="7">
                  <c:v>4251762.13</c:v>
                </c:pt>
                <c:pt idx="8">
                  <c:v>82276892.640000001</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1.0776840145977771E-2"/>
          <c:y val="6.2909136535324742E-3"/>
          <c:w val="0.88631511701754673"/>
          <c:h val="0.92889625000770593"/>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tx2">
                  <a:lumMod val="60000"/>
                  <a:lumOff val="40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effectLst>
                <a:outerShdw blurRad="50800" dist="38100" dir="2700000" algn="tl" rotWithShape="0">
                  <a:prstClr val="black">
                    <a:alpha val="40000"/>
                  </a:prstClr>
                </a:outerShdw>
              </a:effectLst>
            </c:spPr>
          </c:dPt>
          <c:dPt>
            <c:idx val="2"/>
            <c:bubble3D val="0"/>
          </c:dPt>
          <c:dPt>
            <c:idx val="3"/>
            <c:bubble3D val="0"/>
            <c:spPr>
              <a:solidFill>
                <a:srgbClr val="4BACC6">
                  <a:lumMod val="60000"/>
                  <a:lumOff val="40000"/>
                </a:srgbClr>
              </a:solidFill>
              <a:effectLst>
                <a:outerShdw blurRad="50800" dist="38100" dir="2700000" algn="tl" rotWithShape="0">
                  <a:prstClr val="black">
                    <a:alpha val="40000"/>
                  </a:prstClr>
                </a:outerShdw>
              </a:effectLst>
            </c:spPr>
          </c:dPt>
          <c:dPt>
            <c:idx val="4"/>
            <c:bubble3D val="0"/>
            <c:spPr>
              <a:solidFill>
                <a:schemeClr val="accent6">
                  <a:lumMod val="60000"/>
                  <a:lumOff val="40000"/>
                </a:schemeClr>
              </a:solidFill>
              <a:effectLst>
                <a:outerShdw blurRad="50800" dist="38100" dir="2700000" algn="tl" rotWithShape="0">
                  <a:prstClr val="black">
                    <a:alpha val="40000"/>
                  </a:prstClr>
                </a:outerShdw>
              </a:effectLst>
            </c:spPr>
          </c:dPt>
          <c:dPt>
            <c:idx val="5"/>
            <c:bubble3D val="0"/>
            <c:spPr>
              <a:solidFill>
                <a:schemeClr val="accent1">
                  <a:lumMod val="40000"/>
                  <a:lumOff val="60000"/>
                </a:schemeClr>
              </a:solidFill>
              <a:effectLst>
                <a:outerShdw blurRad="50800" dist="38100" dir="2700000" algn="tl" rotWithShape="0">
                  <a:prstClr val="black">
                    <a:alpha val="40000"/>
                  </a:prstClr>
                </a:outerShdw>
              </a:effectLst>
            </c:spPr>
          </c:dPt>
          <c:dPt>
            <c:idx val="6"/>
            <c:bubble3D val="0"/>
            <c:spPr>
              <a:solidFill>
                <a:sysClr val="window" lastClr="FFFFFF">
                  <a:lumMod val="50000"/>
                </a:sysClr>
              </a:solidFill>
              <a:effectLst>
                <a:outerShdw blurRad="50800" dist="38100" dir="2700000" algn="tl" rotWithShape="0">
                  <a:prstClr val="black">
                    <a:alpha val="40000"/>
                  </a:prstClr>
                </a:outerShdw>
              </a:effectLst>
            </c:spPr>
          </c:dPt>
          <c:dLbls>
            <c:dLbl>
              <c:idx val="0"/>
              <c:layout>
                <c:manualLayout>
                  <c:x val="-8.108108589325172E-2"/>
                  <c:y val="4.029137145329427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1"/>
              <c:layout>
                <c:manualLayout>
                  <c:x val="-0.14716303533052369"/>
                  <c:y val="0.1930502652582286"/>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2"/>
              <c:layout>
                <c:manualLayout>
                  <c:x val="-0.23743009299567872"/>
                  <c:y val="-6.6112114114637521E-2"/>
                </c:manualLayout>
              </c:layout>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9729167668199679"/>
                      <c:h val="0.14441207069542464"/>
                    </c:manualLayout>
                  </c15:layout>
                </c:ext>
              </c:extLst>
            </c:dLbl>
            <c:dLbl>
              <c:idx val="3"/>
              <c:layout>
                <c:manualLayout>
                  <c:x val="8.366593131887208E-2"/>
                  <c:y val="-1.5518126942971217E-2"/>
                </c:manualLayout>
              </c:layout>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28310712041008546"/>
                      <c:h val="0.14514067285126953"/>
                    </c:manualLayout>
                  </c15:layout>
                </c:ext>
              </c:extLst>
            </c:dLbl>
            <c:dLbl>
              <c:idx val="4"/>
              <c:layout>
                <c:manualLayout>
                  <c:x val="0.32817548282793746"/>
                  <c:y val="-5.297057210789867E-2"/>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272770780932749"/>
                      <c:h val="0.14040478971711645"/>
                    </c:manualLayout>
                  </c15:layout>
                </c:ext>
              </c:extLst>
            </c:dLbl>
            <c:dLbl>
              <c:idx val="5"/>
              <c:layout>
                <c:manualLayout>
                  <c:x val="0.12205989968645338"/>
                  <c:y val="-0.16751737732529945"/>
                </c:manualLayout>
              </c:layout>
              <c:showLegendKey val="0"/>
              <c:showVal val="1"/>
              <c:showCatName val="1"/>
              <c:showSerName val="0"/>
              <c:showPercent val="1"/>
              <c:showBubbleSize val="0"/>
              <c:separator>
</c:separator>
              <c:extLst>
                <c:ext xmlns:c15="http://schemas.microsoft.com/office/drawing/2012/chart" uri="{CE6537A1-D6FC-4f65-9D91-7224C49458BB}">
                  <c15:layout>
                    <c:manualLayout>
                      <c:w val="0.22393049627963871"/>
                      <c:h val="0.14514067285126953"/>
                    </c:manualLayout>
                  </c15:layout>
                </c:ext>
              </c:extLst>
            </c:dLbl>
            <c:dLbl>
              <c:idx val="6"/>
              <c:layout>
                <c:manualLayout>
                  <c:x val="8.4392821723562661E-2"/>
                  <c:y val="0.1983839646599998"/>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7"/>
              <c:layout>
                <c:manualLayout>
                  <c:x val="7.0934888780871702E-2"/>
                  <c:y val="-8.8613754867309186E-2"/>
                </c:manualLayout>
              </c:layout>
              <c:showLegendKey val="0"/>
              <c:showVal val="1"/>
              <c:showCatName val="1"/>
              <c:showSerName val="0"/>
              <c:showPercent val="1"/>
              <c:showBubbleSize val="0"/>
              <c:separator>
</c:separator>
              <c:extLst>
                <c:ext xmlns:c15="http://schemas.microsoft.com/office/drawing/2012/chart" uri="{CE6537A1-D6FC-4f65-9D91-7224C49458BB}"/>
              </c:extLst>
            </c:dLbl>
            <c:dLbl>
              <c:idx val="8"/>
              <c:layout>
                <c:manualLayout>
                  <c:x val="0.15159346128028856"/>
                  <c:y val="0.19401158051333381"/>
                </c:manualLayout>
              </c:layout>
              <c:showLegendKey val="0"/>
              <c:showVal val="1"/>
              <c:showCatName val="1"/>
              <c:showSerName val="0"/>
              <c:showPercent val="1"/>
              <c:showBubbleSize val="0"/>
              <c:separator>
</c:separator>
              <c:extLst>
                <c:ext xmlns:c15="http://schemas.microsoft.com/office/drawing/2012/chart" uri="{CE6537A1-D6FC-4f65-9D91-7224C49458BB}"/>
              </c:extLst>
            </c:dLbl>
            <c:numFmt formatCode="0.0%" sourceLinked="0"/>
            <c:spPr>
              <a:solidFill>
                <a:schemeClr val="bg1">
                  <a:lumMod val="95000"/>
                </a:schemeClr>
              </a:solidFill>
              <a:ln cap="rnd"/>
              <a:effectLst>
                <a:outerShdw blurRad="50800" dist="38100" dir="2700000" algn="tl" rotWithShape="0">
                  <a:prstClr val="black">
                    <a:alpha val="40000"/>
                  </a:prstClr>
                </a:outerShdw>
              </a:effectLst>
            </c:spPr>
            <c:txPr>
              <a:bodyPr/>
              <a:lstStyle/>
              <a:p>
                <a:pPr>
                  <a:defRPr>
                    <a:solidFill>
                      <a:schemeClr val="tx1">
                        <a:lumMod val="65000"/>
                        <a:lumOff val="35000"/>
                      </a:schemeClr>
                    </a:solidFill>
                    <a:latin typeface="Century Gothic" pitchFamily="34" charset="0"/>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'6b_ArtProd'!$A$3:$A$6</c:f>
              <c:strCache>
                <c:ptCount val="4"/>
                <c:pt idx="0">
                  <c:v>Coordination (Local/Regional)</c:v>
                </c:pt>
                <c:pt idx="1">
                  <c:v>Harvest Augmentation</c:v>
                </c:pt>
                <c:pt idx="2">
                  <c:v>RM and E</c:v>
                </c:pt>
                <c:pt idx="3">
                  <c:v>Supplementation</c:v>
                </c:pt>
              </c:strCache>
            </c:strRef>
          </c:cat>
          <c:val>
            <c:numRef>
              <c:f>'6b_ArtProd'!$I$3:$I$6</c:f>
              <c:numCache>
                <c:formatCode>"$"#.0,,\ "million"</c:formatCode>
                <c:ptCount val="4"/>
                <c:pt idx="0">
                  <c:v>703885.61</c:v>
                </c:pt>
                <c:pt idx="1">
                  <c:v>4206148.1500000004</c:v>
                </c:pt>
                <c:pt idx="2">
                  <c:v>24391057.350000001</c:v>
                </c:pt>
                <c:pt idx="3">
                  <c:v>31490426.289999999</c:v>
                </c:pt>
              </c:numCache>
            </c:numRef>
          </c:val>
        </c:ser>
        <c:dLbls>
          <c:showLegendKey val="0"/>
          <c:showVal val="0"/>
          <c:showCatName val="0"/>
          <c:showSerName val="0"/>
          <c:showPercent val="0"/>
          <c:showBubbleSize val="0"/>
          <c:showLeaderLines val="1"/>
        </c:dLbls>
        <c:firstSliceAng val="0"/>
      </c:pieChart>
      <c:spPr>
        <a:effectLst/>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0.19441735229997792"/>
                  <c:y val="0.16909713787688813"/>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9189426564397896"/>
                      <c:h val="0.10324022655062853"/>
                    </c:manualLayout>
                  </c15:layout>
                </c:ext>
              </c:extLst>
            </c:dLbl>
            <c:dLbl>
              <c:idx val="1"/>
              <c:layout>
                <c:manualLayout>
                  <c:x val="-0.21403511454272101"/>
                  <c:y val="-0.19887360132615001"/>
                </c:manualLayout>
              </c:layout>
              <c:showLegendKey val="0"/>
              <c:showVal val="1"/>
              <c:showCatName val="1"/>
              <c:showSerName val="0"/>
              <c:showPercent val="1"/>
              <c:showBubbleSize val="0"/>
              <c:extLst>
                <c:ext xmlns:c15="http://schemas.microsoft.com/office/drawing/2012/chart" uri="{CE6537A1-D6FC-4f65-9D91-7224C49458BB}">
                  <c15:layout>
                    <c:manualLayout>
                      <c:w val="0.20401294498381881"/>
                      <c:h val="6.435087719298245E-2"/>
                    </c:manualLayout>
                  </c15:layout>
                </c:ext>
              </c:extLst>
            </c:dLbl>
            <c:dLbl>
              <c:idx val="2"/>
              <c:layout>
                <c:manualLayout>
                  <c:x val="0.18452547800456981"/>
                  <c:y val="-2.3391812865497075E-2"/>
                </c:manualLayout>
              </c:layout>
              <c:showLegendKey val="0"/>
              <c:showVal val="1"/>
              <c:showCatName val="1"/>
              <c:showSerName val="0"/>
              <c:showPercent val="1"/>
              <c:showBubbleSize val="0"/>
              <c:extLst>
                <c:ext xmlns:c15="http://schemas.microsoft.com/office/drawing/2012/chart" uri="{CE6537A1-D6FC-4f65-9D91-7224C49458BB}"/>
              </c:extLst>
            </c:dLbl>
            <c:dLbl>
              <c:idx val="3"/>
              <c:layout>
                <c:manualLayout>
                  <c:x val="6.2148663455902961E-2"/>
                  <c:y val="-7.2394529631164523E-2"/>
                </c:manualLayout>
              </c:layout>
              <c:showLegendKey val="0"/>
              <c:showVal val="1"/>
              <c:showCatName val="1"/>
              <c:showSerName val="0"/>
              <c:showPercent val="1"/>
              <c:showBubbleSize val="0"/>
              <c:extLst>
                <c:ext xmlns:c15="http://schemas.microsoft.com/office/drawing/2012/chart" uri="{CE6537A1-D6FC-4f65-9D91-7224C49458BB}"/>
              </c:extLst>
            </c:dLbl>
            <c:dLbl>
              <c:idx val="4"/>
              <c:layout>
                <c:manualLayout>
                  <c:x val="-3.6699708652923241E-2"/>
                  <c:y val="-2.7892250310816581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8.1025371828521445E-2"/>
                    </c:manualLayout>
                  </c15:layout>
                </c:ext>
              </c:extLst>
            </c:dLbl>
            <c:dLbl>
              <c:idx val="5"/>
              <c:layout>
                <c:manualLayout>
                  <c:x val="0.17163006785545554"/>
                  <c:y val="1.21065542056340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22147593201335269"/>
                      <c:h val="0.10966616015103375"/>
                    </c:manualLayout>
                  </c15:layout>
                </c:ext>
              </c:extLst>
            </c:dLbl>
            <c:dLbl>
              <c:idx val="6"/>
              <c:layout>
                <c:manualLayout>
                  <c:x val="0.11627466469603921"/>
                  <c:y val="-0.11729060183266565"/>
                </c:manualLayout>
              </c:layout>
              <c:showLegendKey val="0"/>
              <c:showVal val="1"/>
              <c:showCatName val="1"/>
              <c:showSerName val="0"/>
              <c:showPercent val="1"/>
              <c:showBubbleSize val="0"/>
              <c:extLst>
                <c:ext xmlns:c15="http://schemas.microsoft.com/office/drawing/2012/chart" uri="{CE6537A1-D6FC-4f65-9D91-7224C49458BB}"/>
              </c:extLst>
            </c:dLbl>
            <c:dLbl>
              <c:idx val="7"/>
              <c:layout>
                <c:manualLayout>
                  <c:x val="8.9347824240416554E-2"/>
                  <c:y val="-9.5620665837822985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Lst>
            </c:dLbl>
            <c:dLbl>
              <c:idx val="8"/>
              <c:layout>
                <c:manualLayout>
                  <c:x val="5.4920537845390686E-2"/>
                  <c:y val="-4.2101211032831425E-2"/>
                </c:manualLayout>
              </c:layout>
              <c:showLegendKey val="0"/>
              <c:showVal val="1"/>
              <c:showCatName val="1"/>
              <c:showSerName val="0"/>
              <c:showPercent val="1"/>
              <c:showBubbleSize val="0"/>
              <c:extLst>
                <c:ext xmlns:c15="http://schemas.microsoft.com/office/drawing/2012/chart" uri="{CE6537A1-D6FC-4f65-9D91-7224C49458BB}"/>
              </c:extLst>
            </c:dLbl>
            <c:dLbl>
              <c:idx val="9"/>
              <c:layout>
                <c:manualLayout>
                  <c:x val="0.13081143983215687"/>
                  <c:y val="0.11538591886540499"/>
                </c:manualLayout>
              </c:layout>
              <c:showLegendKey val="0"/>
              <c:showVal val="1"/>
              <c:showCatName val="1"/>
              <c:showSerName val="0"/>
              <c:showPercent val="1"/>
              <c:showBubbleSize val="0"/>
              <c:extLst>
                <c:ext xmlns:c15="http://schemas.microsoft.com/office/drawing/2012/chart" uri="{CE6537A1-D6FC-4f65-9D91-7224C49458BB}"/>
              </c:extLst>
            </c:dLbl>
            <c:dLbl>
              <c:idx val="10"/>
              <c:layout>
                <c:manualLayout>
                  <c:x val="8.3128965675407035E-2"/>
                  <c:y val="7.5079062485610346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1931872605"/>
                      <c:h val="9.3297302375590099E-2"/>
                    </c:manualLayout>
                  </c15:layout>
                </c:ext>
              </c:extLst>
            </c:dLbl>
            <c:dLbl>
              <c:idx val="11"/>
              <c:layout>
                <c:manualLayout>
                  <c:x val="1.9382576981373585E-2"/>
                  <c:y val="0.19116359215500889"/>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10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'7_RME'!$A$3:$A$8</c:f>
              <c:strCache>
                <c:ptCount val="6"/>
                <c:pt idx="0">
                  <c:v>Artificial Production</c:v>
                </c:pt>
                <c:pt idx="1">
                  <c:v>Habitat</c:v>
                </c:pt>
                <c:pt idx="2">
                  <c:v>Harvest</c:v>
                </c:pt>
                <c:pt idx="3">
                  <c:v>Hydrosystem</c:v>
                </c:pt>
                <c:pt idx="4">
                  <c:v>Predation</c:v>
                </c:pt>
                <c:pt idx="5">
                  <c:v>Programmatic</c:v>
                </c:pt>
              </c:strCache>
            </c:strRef>
          </c:cat>
          <c:val>
            <c:numRef>
              <c:f>'7_RME'!$C$3:$C$8</c:f>
              <c:numCache>
                <c:formatCode>"$"#.0,,\ "million"</c:formatCode>
                <c:ptCount val="6"/>
                <c:pt idx="0">
                  <c:v>24391057.350000001</c:v>
                </c:pt>
                <c:pt idx="1">
                  <c:v>13332982.800000001</c:v>
                </c:pt>
                <c:pt idx="2">
                  <c:v>1216118.1000000001</c:v>
                </c:pt>
                <c:pt idx="3">
                  <c:v>7908829.1200000001</c:v>
                </c:pt>
                <c:pt idx="4">
                  <c:v>1264151.55</c:v>
                </c:pt>
                <c:pt idx="5">
                  <c:v>34163753.719999999</c:v>
                </c:pt>
              </c:numCache>
            </c:numRef>
          </c:val>
        </c:ser>
        <c:ser>
          <c:idx val="1"/>
          <c:order val="1"/>
          <c:val>
            <c:numLit>
              <c:formatCode>General</c:formatCode>
              <c:ptCount val="1"/>
              <c:pt idx="0">
                <c:v>1</c:v>
              </c:pt>
            </c:numLit>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12482746382844E-2"/>
          <c:y val="2.3363703774675903E-2"/>
          <c:w val="0.88057596159620866"/>
          <c:h val="0.9647995412931254"/>
        </c:manualLayout>
      </c:layout>
      <c:pieChart>
        <c:varyColors val="1"/>
        <c:ser>
          <c:idx val="0"/>
          <c:order val="0"/>
          <c:spPr>
            <a:effectLst>
              <a:outerShdw blurRad="50800" dist="38100" dir="2700000" algn="tl" rotWithShape="0">
                <a:prstClr val="black">
                  <a:alpha val="40000"/>
                </a:prstClr>
              </a:outerShdw>
            </a:effectLst>
          </c:spPr>
          <c:dLbls>
            <c:dLbl>
              <c:idx val="0"/>
              <c:layout>
                <c:manualLayout>
                  <c:x val="-5.5258857205956129E-2"/>
                  <c:y val="6.500363770318183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795683306576967"/>
                      <c:h val="8.6865957544780589E-2"/>
                    </c:manualLayout>
                  </c15:layout>
                </c:ext>
              </c:extLst>
            </c:dLbl>
            <c:dLbl>
              <c:idx val="1"/>
              <c:layout>
                <c:manualLayout>
                  <c:x val="-0.17520011473772376"/>
                  <c:y val="0.13010401804704355"/>
                </c:manualLayout>
              </c:layout>
              <c:showLegendKey val="0"/>
              <c:showVal val="1"/>
              <c:showCatName val="1"/>
              <c:showSerName val="0"/>
              <c:showPercent val="1"/>
              <c:showBubbleSize val="0"/>
              <c:extLst>
                <c:ext xmlns:c15="http://schemas.microsoft.com/office/drawing/2012/chart" uri="{CE6537A1-D6FC-4f65-9D91-7224C49458BB}"/>
              </c:extLst>
            </c:dLbl>
            <c:dLbl>
              <c:idx val="2"/>
              <c:layout>
                <c:manualLayout>
                  <c:x val="-0.14557160937407104"/>
                  <c:y val="7.1443937928811527E-2"/>
                </c:manualLayout>
              </c:layout>
              <c:showLegendKey val="0"/>
              <c:showVal val="1"/>
              <c:showCatName val="1"/>
              <c:showSerName val="0"/>
              <c:showPercent val="1"/>
              <c:showBubbleSize val="0"/>
              <c:extLst>
                <c:ext xmlns:c15="http://schemas.microsoft.com/office/drawing/2012/chart" uri="{CE6537A1-D6FC-4f65-9D91-7224C49458BB}"/>
              </c:extLst>
            </c:dLbl>
            <c:dLbl>
              <c:idx val="3"/>
              <c:layout>
                <c:manualLayout>
                  <c:x val="-0.19027858094751507"/>
                  <c:y val="-0.13087405953719966"/>
                </c:manualLayout>
              </c:layout>
              <c:showLegendKey val="0"/>
              <c:showVal val="1"/>
              <c:showCatName val="1"/>
              <c:showSerName val="0"/>
              <c:showPercent val="1"/>
              <c:showBubbleSize val="0"/>
              <c:extLst>
                <c:ext xmlns:c15="http://schemas.microsoft.com/office/drawing/2012/chart" uri="{CE6537A1-D6FC-4f65-9D91-7224C49458BB}"/>
              </c:extLst>
            </c:dLbl>
            <c:dLbl>
              <c:idx val="4"/>
              <c:layout>
                <c:manualLayout>
                  <c:x val="-4.1014762375935911E-2"/>
                  <c:y val="-6.1810408994417115E-2"/>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7933729157641703"/>
                      <c:h val="5.997274024957408E-2"/>
                    </c:manualLayout>
                  </c15:layout>
                </c:ext>
              </c:extLst>
            </c:dLbl>
            <c:dLbl>
              <c:idx val="5"/>
              <c:layout>
                <c:manualLayout>
                  <c:x val="4.8652753357286652E-2"/>
                  <c:y val="-0.14461859372841554"/>
                </c:manualLayout>
              </c:layout>
              <c:showLegendKey val="0"/>
              <c:showVal val="1"/>
              <c:showCatName val="1"/>
              <c:showSerName val="0"/>
              <c:showPercent val="1"/>
              <c:showBubbleSize val="0"/>
              <c:extLst>
                <c:ext xmlns:c15="http://schemas.microsoft.com/office/drawing/2012/chart" uri="{CE6537A1-D6FC-4f65-9D91-7224C49458BB}">
                  <c15:layout>
                    <c:manualLayout>
                      <c:w val="0.17401105490482502"/>
                      <c:h val="5.35258058034025E-2"/>
                    </c:manualLayout>
                  </c15:layout>
                </c:ext>
              </c:extLst>
            </c:dLbl>
            <c:dLbl>
              <c:idx val="6"/>
              <c:layout>
                <c:manualLayout>
                  <c:x val="0.13569214042419456"/>
                  <c:y val="-0.16407422756365989"/>
                </c:manualLayout>
              </c:layout>
              <c:showLegendKey val="0"/>
              <c:showVal val="1"/>
              <c:showCatName val="1"/>
              <c:showSerName val="0"/>
              <c:showPercent val="1"/>
              <c:showBubbleSize val="0"/>
              <c:extLst>
                <c:ext xmlns:c15="http://schemas.microsoft.com/office/drawing/2012/chart" uri="{CE6537A1-D6FC-4f65-9D91-7224C49458BB}"/>
              </c:extLst>
            </c:dLbl>
            <c:dLbl>
              <c:idx val="7"/>
              <c:layout>
                <c:manualLayout>
                  <c:x val="6.3457856602876089E-2"/>
                  <c:y val="-4.4158677533729339E-2"/>
                </c:manualLayout>
              </c:layout>
              <c:showLegendKey val="0"/>
              <c:showVal val="1"/>
              <c:showCatName val="1"/>
              <c:showSerName val="0"/>
              <c:showPercent val="1"/>
              <c:showBubbleSize val="0"/>
              <c:extLst>
                <c:ext xmlns:c15="http://schemas.microsoft.com/office/drawing/2012/chart" uri="{CE6537A1-D6FC-4f65-9D91-7224C49458BB}">
                  <c15:layout>
                    <c:manualLayout>
                      <c:w val="0.15647714356149364"/>
                      <c:h val="5.35258058034025E-2"/>
                    </c:manualLayout>
                  </c15:layout>
                </c:ext>
              </c:extLst>
            </c:dLbl>
            <c:dLbl>
              <c:idx val="8"/>
              <c:layout>
                <c:manualLayout>
                  <c:x val="5.4920537845390686E-2"/>
                  <c:y val="4.0521250633144539E-6"/>
                </c:manualLayout>
              </c:layout>
              <c:showLegendKey val="0"/>
              <c:showVal val="1"/>
              <c:showCatName val="1"/>
              <c:showSerName val="0"/>
              <c:showPercent val="1"/>
              <c:showBubbleSize val="0"/>
              <c:extLst>
                <c:ext xmlns:c15="http://schemas.microsoft.com/office/drawing/2012/chart" uri="{CE6537A1-D6FC-4f65-9D91-7224C49458BB}"/>
              </c:extLst>
            </c:dLbl>
            <c:dLbl>
              <c:idx val="9"/>
              <c:layout>
                <c:manualLayout>
                  <c:x val="0.14159892634779875"/>
                  <c:y val="0.15749118202329973"/>
                </c:manualLayout>
              </c:layout>
              <c:showLegendKey val="0"/>
              <c:showVal val="1"/>
              <c:showCatName val="1"/>
              <c:showSerName val="0"/>
              <c:showPercent val="1"/>
              <c:showBubbleSize val="0"/>
              <c:extLst>
                <c:ext xmlns:c15="http://schemas.microsoft.com/office/drawing/2012/chart" uri="{CE6537A1-D6FC-4f65-9D91-7224C49458BB}"/>
              </c:extLst>
            </c:dLbl>
            <c:dLbl>
              <c:idx val="10"/>
              <c:layout>
                <c:manualLayout>
                  <c:x val="9.607403443501597E-2"/>
                  <c:y val="0.10782760049730626"/>
                </c:manualLayout>
              </c:layout>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no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3058125015926408"/>
                      <c:h val="7.926214486347101E-2"/>
                    </c:manualLayout>
                  </c15:layout>
                </c:ext>
              </c:extLst>
            </c:dLbl>
            <c:dLbl>
              <c:idx val="11"/>
              <c:layout>
                <c:manualLayout>
                  <c:x val="0.12941492750299413"/>
                  <c:y val="0.19818114840908041"/>
                </c:manualLayout>
              </c:layout>
              <c:showLegendKey val="0"/>
              <c:showVal val="1"/>
              <c:showCatName val="1"/>
              <c:showSerName val="0"/>
              <c:showPercent val="1"/>
              <c:showBubbleSize val="0"/>
              <c:extLst>
                <c:ext xmlns:c15="http://schemas.microsoft.com/office/drawing/2012/chart" uri="{CE6537A1-D6FC-4f65-9D91-7224C49458BB}">
                  <c15:layout>
                    <c:manualLayout>
                      <c:w val="0.1095469646308717"/>
                      <c:h val="6.4889090538313252E-2"/>
                    </c:manualLayout>
                  </c15:layout>
                </c:ext>
              </c:extLst>
            </c:dLbl>
            <c:spPr>
              <a:solidFill>
                <a:schemeClr val="bg1">
                  <a:alpha val="85000"/>
                </a:schemeClr>
              </a:solidFill>
              <a:ln>
                <a:noFill/>
              </a:ln>
              <a:effectLst>
                <a:outerShdw blurRad="50800" dist="38100" dir="2700000" algn="tl" rotWithShape="0">
                  <a:prstClr val="black">
                    <a:alpha val="40000"/>
                  </a:prstClr>
                </a:outerShdw>
              </a:effectLst>
            </c:spPr>
            <c:txPr>
              <a:bodyPr wrap="square" lIns="38100" tIns="19050" rIns="38100" bIns="19050" anchor="ctr">
                <a:spAutoFit/>
              </a:bodyPr>
              <a:lstStyle/>
              <a:p>
                <a:pPr>
                  <a:defRPr sz="800">
                    <a:solidFill>
                      <a:schemeClr val="tx1">
                        <a:lumMod val="65000"/>
                        <a:lumOff val="35000"/>
                      </a:schemeClr>
                    </a:solidFill>
                    <a:latin typeface="Century Gothic" panose="020B0502020202020204" pitchFamily="34" charset="0"/>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'8_Province'!$E$26:$E$38</c:f>
              <c:strCache>
                <c:ptCount val="13"/>
                <c:pt idx="0">
                  <c:v>Blue Mountain</c:v>
                </c:pt>
                <c:pt idx="1">
                  <c:v>Columbia Cascade</c:v>
                </c:pt>
                <c:pt idx="2">
                  <c:v>Columbia Gorge</c:v>
                </c:pt>
                <c:pt idx="3">
                  <c:v>Columbia Plateau</c:v>
                </c:pt>
                <c:pt idx="4">
                  <c:v>Columbia Estuary</c:v>
                </c:pt>
                <c:pt idx="5">
                  <c:v>Intermountain</c:v>
                </c:pt>
                <c:pt idx="6">
                  <c:v>Lower Columbia</c:v>
                </c:pt>
                <c:pt idx="7">
                  <c:v>Middle Snake</c:v>
                </c:pt>
                <c:pt idx="8">
                  <c:v>Mountain Columbia</c:v>
                </c:pt>
                <c:pt idx="9">
                  <c:v>Mountain Snake</c:v>
                </c:pt>
                <c:pt idx="10">
                  <c:v>Upper Snake</c:v>
                </c:pt>
                <c:pt idx="11">
                  <c:v>Other</c:v>
                </c:pt>
                <c:pt idx="12">
                  <c:v>Program Support</c:v>
                </c:pt>
              </c:strCache>
            </c:strRef>
          </c:cat>
          <c:val>
            <c:numRef>
              <c:f>'8_Province'!$F$26:$F$38</c:f>
              <c:numCache>
                <c:formatCode>"$"#.0,,\ "million"</c:formatCode>
                <c:ptCount val="13"/>
                <c:pt idx="0">
                  <c:v>17902245.260000002</c:v>
                </c:pt>
                <c:pt idx="1">
                  <c:v>27092251.879999999</c:v>
                </c:pt>
                <c:pt idx="2">
                  <c:v>9718140.5299999993</c:v>
                </c:pt>
                <c:pt idx="3">
                  <c:v>61768581.469999999</c:v>
                </c:pt>
                <c:pt idx="4">
                  <c:v>11335523.130000001</c:v>
                </c:pt>
                <c:pt idx="5">
                  <c:v>18009485.280000001</c:v>
                </c:pt>
                <c:pt idx="6">
                  <c:v>40899829.880000003</c:v>
                </c:pt>
                <c:pt idx="7">
                  <c:v>4492669.7</c:v>
                </c:pt>
                <c:pt idx="8">
                  <c:v>21255931.059999999</c:v>
                </c:pt>
                <c:pt idx="9">
                  <c:v>29086789.109999999</c:v>
                </c:pt>
                <c:pt idx="10">
                  <c:v>5063743.83</c:v>
                </c:pt>
                <c:pt idx="11">
                  <c:v>6855562.4800000004</c:v>
                </c:pt>
                <c:pt idx="12">
                  <c:v>20691420.34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a:effectLst/>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14284</xdr:colOff>
      <xdr:row>18</xdr:row>
      <xdr:rowOff>185735</xdr:rowOff>
    </xdr:from>
    <xdr:to>
      <xdr:col>8</xdr:col>
      <xdr:colOff>523874</xdr:colOff>
      <xdr:row>51</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485775</xdr:colOff>
      <xdr:row>25</xdr:row>
      <xdr:rowOff>95250</xdr:rowOff>
    </xdr:from>
    <xdr:to>
      <xdr:col>4</xdr:col>
      <xdr:colOff>0</xdr:colOff>
      <xdr:row>51</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693964</xdr:colOff>
      <xdr:row>74</xdr:row>
      <xdr:rowOff>45626</xdr:rowOff>
    </xdr:from>
    <xdr:to>
      <xdr:col>19</xdr:col>
      <xdr:colOff>78441</xdr:colOff>
      <xdr:row>112</xdr:row>
      <xdr:rowOff>149678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367394</xdr:colOff>
      <xdr:row>43</xdr:row>
      <xdr:rowOff>95252</xdr:rowOff>
    </xdr:from>
    <xdr:to>
      <xdr:col>10</xdr:col>
      <xdr:colOff>27216</xdr:colOff>
      <xdr:row>78</xdr:row>
      <xdr:rowOff>27213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1309065</xdr:colOff>
      <xdr:row>12</xdr:row>
      <xdr:rowOff>145358</xdr:rowOff>
    </xdr:from>
    <xdr:to>
      <xdr:col>10</xdr:col>
      <xdr:colOff>270841</xdr:colOff>
      <xdr:row>37</xdr:row>
      <xdr:rowOff>149086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13</xdr:row>
      <xdr:rowOff>0</xdr:rowOff>
    </xdr:from>
    <xdr:to>
      <xdr:col>21</xdr:col>
      <xdr:colOff>361537</xdr:colOff>
      <xdr:row>38</xdr:row>
      <xdr:rowOff>12010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0.7935</cdr:x>
      <cdr:y>0.19404</cdr:y>
    </cdr:from>
    <cdr:to>
      <cdr:x>0.94712</cdr:x>
      <cdr:y>0.25426</cdr:y>
    </cdr:to>
    <cdr:sp macro="" textlink="">
      <cdr:nvSpPr>
        <cdr:cNvPr id="3" name="TextBox 2"/>
        <cdr:cNvSpPr txBox="1"/>
      </cdr:nvSpPr>
      <cdr:spPr>
        <a:xfrm xmlns:a="http://schemas.openxmlformats.org/drawingml/2006/main">
          <a:off x="4723159" y="774012"/>
          <a:ext cx="914400" cy="2401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$2.5B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0.80447</cdr:x>
      <cdr:y>0.12729</cdr:y>
    </cdr:from>
    <cdr:to>
      <cdr:x>0.88631</cdr:x>
      <cdr:y>0.1875</cdr:y>
    </cdr:to>
    <cdr:sp macro="" textlink="">
      <cdr:nvSpPr>
        <cdr:cNvPr id="4" name="TextBox 1"/>
        <cdr:cNvSpPr txBox="1"/>
      </cdr:nvSpPr>
      <cdr:spPr>
        <a:xfrm xmlns:a="http://schemas.openxmlformats.org/drawingml/2006/main">
          <a:off x="4788452" y="528668"/>
          <a:ext cx="487157" cy="2500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Totals</a:t>
          </a:r>
        </a:p>
      </cdr:txBody>
    </cdr:sp>
  </cdr:relSizeAnchor>
  <cdr:relSizeAnchor xmlns:cdr="http://schemas.openxmlformats.org/drawingml/2006/chartDrawing">
    <cdr:from>
      <cdr:x>0.79473</cdr:x>
      <cdr:y>0.35742</cdr:y>
    </cdr:from>
    <cdr:to>
      <cdr:x>0.94835</cdr:x>
      <cdr:y>0.41764</cdr:y>
    </cdr:to>
    <cdr:sp macro="" textlink="">
      <cdr:nvSpPr>
        <cdr:cNvPr id="5" name="TextBox 1"/>
        <cdr:cNvSpPr txBox="1"/>
      </cdr:nvSpPr>
      <cdr:spPr>
        <a:xfrm xmlns:a="http://schemas.openxmlformats.org/drawingml/2006/main">
          <a:off x="4730474" y="1425713"/>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$3.6B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0.47162</cdr:y>
    </cdr:from>
    <cdr:to>
      <cdr:x>0.94696</cdr:x>
      <cdr:y>0.53184</cdr:y>
    </cdr:to>
    <cdr:sp macro="" textlink="">
      <cdr:nvSpPr>
        <cdr:cNvPr id="6" name="TextBox 1"/>
        <cdr:cNvSpPr txBox="1"/>
      </cdr:nvSpPr>
      <cdr:spPr>
        <a:xfrm xmlns:a="http://schemas.openxmlformats.org/drawingml/2006/main">
          <a:off x="4722191" y="1881256"/>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$1.5B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0.79473</cdr:x>
      <cdr:y>0.59205</cdr:y>
    </cdr:from>
    <cdr:to>
      <cdr:x>0.94835</cdr:x>
      <cdr:y>0.65227</cdr:y>
    </cdr:to>
    <cdr:sp macro="" textlink="">
      <cdr:nvSpPr>
        <cdr:cNvPr id="7" name="TextBox 1"/>
        <cdr:cNvSpPr txBox="1"/>
      </cdr:nvSpPr>
      <cdr:spPr>
        <a:xfrm xmlns:a="http://schemas.openxmlformats.org/drawingml/2006/main">
          <a:off x="4730473" y="2361648"/>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$3.3B</a:t>
          </a:r>
          <a:endParaRPr lang="en-US" sz="1000">
            <a:solidFill>
              <a:schemeClr val="bg1">
                <a:lumMod val="50000"/>
              </a:schemeClr>
            </a:solidFill>
            <a:latin typeface="Century Gothic" panose="020B0502020202020204" pitchFamily="34" charset="0"/>
          </a:endParaRPr>
        </a:p>
      </cdr:txBody>
    </cdr:sp>
  </cdr:relSizeAnchor>
  <cdr:relSizeAnchor xmlns:cdr="http://schemas.openxmlformats.org/drawingml/2006/chartDrawing">
    <cdr:from>
      <cdr:x>0.79334</cdr:x>
      <cdr:y>0.7727</cdr:y>
    </cdr:from>
    <cdr:to>
      <cdr:x>0.94696</cdr:x>
      <cdr:y>0.83292</cdr:y>
    </cdr:to>
    <cdr:sp macro="" textlink="">
      <cdr:nvSpPr>
        <cdr:cNvPr id="8" name="TextBox 1"/>
        <cdr:cNvSpPr txBox="1"/>
      </cdr:nvSpPr>
      <cdr:spPr>
        <a:xfrm xmlns:a="http://schemas.openxmlformats.org/drawingml/2006/main">
          <a:off x="4722192" y="3082235"/>
          <a:ext cx="914400" cy="24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solidFill>
                <a:schemeClr val="bg1">
                  <a:lumMod val="50000"/>
                </a:schemeClr>
              </a:solidFill>
              <a:latin typeface="Century Gothic" panose="020B0502020202020204" pitchFamily="34" charset="0"/>
            </a:rPr>
            <a:t>–</a:t>
          </a:r>
          <a:r>
            <a:rPr lang="en-US" sz="1000" baseline="0">
              <a:solidFill>
                <a:schemeClr val="bg1">
                  <a:lumMod val="50000"/>
                </a:schemeClr>
              </a:solidFill>
              <a:latin typeface="Century Gothic" panose="020B0502020202020204" pitchFamily="34" charset="0"/>
            </a:rPr>
            <a:t> $4.3B</a:t>
          </a:r>
          <a:endParaRPr lang="en-US" sz="1000">
            <a:solidFill>
              <a:schemeClr val="bg1">
                <a:lumMod val="50000"/>
              </a:schemeClr>
            </a:solidFill>
            <a:latin typeface="Century Gothic" panose="020B0502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0.39989</cdr:x>
      <cdr:y>0.34577</cdr:y>
    </cdr:from>
    <cdr:to>
      <cdr:x>0.514</cdr:x>
      <cdr:y>0.42036</cdr:y>
    </cdr:to>
    <cdr:sp macro="" textlink="">
      <cdr:nvSpPr>
        <cdr:cNvPr id="2" name="TextBox 1"/>
        <cdr:cNvSpPr txBox="1"/>
      </cdr:nvSpPr>
      <cdr:spPr>
        <a:xfrm xmlns:a="http://schemas.openxmlformats.org/drawingml/2006/main">
          <a:off x="3605217" y="2119315"/>
          <a:ext cx="1028700" cy="457200"/>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vertOverflow="clip" wrap="square" rtlCol="0" anchor="ctr"/>
        <a:lstStyle xmlns:a="http://schemas.openxmlformats.org/drawingml/2006/main"/>
        <a:p xmlns:a="http://schemas.openxmlformats.org/drawingml/2006/main">
          <a:pPr algn="ctr"/>
          <a:r>
            <a:rPr lang="en-US" sz="1000">
              <a:latin typeface="Century Gothic" panose="020B0502020202020204" pitchFamily="34" charset="0"/>
            </a:rPr>
            <a:t>Fixed Costs, $148.2 million</a:t>
          </a:r>
        </a:p>
      </cdr:txBody>
    </cdr:sp>
  </cdr:relSizeAnchor>
  <cdr:relSizeAnchor xmlns:cdr="http://schemas.openxmlformats.org/drawingml/2006/chartDrawing">
    <cdr:from>
      <cdr:x>0.40394</cdr:x>
      <cdr:y>0.66097</cdr:y>
    </cdr:from>
    <cdr:to>
      <cdr:x>0.5626</cdr:x>
      <cdr:y>0.73556</cdr:y>
    </cdr:to>
    <cdr:sp macro="" textlink="">
      <cdr:nvSpPr>
        <cdr:cNvPr id="3" name="TextBox 1"/>
        <cdr:cNvSpPr txBox="1"/>
      </cdr:nvSpPr>
      <cdr:spPr>
        <a:xfrm xmlns:a="http://schemas.openxmlformats.org/drawingml/2006/main">
          <a:off x="3641724" y="4051300"/>
          <a:ext cx="1430341" cy="457200"/>
        </a:xfrm>
        <a:prstGeom xmlns:a="http://schemas.openxmlformats.org/drawingml/2006/main" prst="rect">
          <a:avLst/>
        </a:prstGeom>
        <a:solidFill xmlns:a="http://schemas.openxmlformats.org/drawingml/2006/main">
          <a:srgbClr val="FFFFFF">
            <a:alpha val="85098"/>
          </a:srgbClr>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a:latin typeface="Century Gothic" panose="020B0502020202020204" pitchFamily="34" charset="0"/>
            </a:rPr>
            <a:t>Reimburseable Costs, $88.2 million</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0</xdr:colOff>
      <xdr:row>35</xdr:row>
      <xdr:rowOff>0</xdr:rowOff>
    </xdr:from>
    <xdr:to>
      <xdr:col>7</xdr:col>
      <xdr:colOff>666750</xdr:colOff>
      <xdr:row>65</xdr:row>
      <xdr:rowOff>110217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600074</xdr:colOff>
      <xdr:row>12</xdr:row>
      <xdr:rowOff>9524</xdr:rowOff>
    </xdr:from>
    <xdr:to>
      <xdr:col>6</xdr:col>
      <xdr:colOff>323850</xdr:colOff>
      <xdr:row>31</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0</xdr:rowOff>
    </xdr:from>
    <xdr:to>
      <xdr:col>2</xdr:col>
      <xdr:colOff>676275</xdr:colOff>
      <xdr:row>59</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18</xdr:row>
      <xdr:rowOff>0</xdr:rowOff>
    </xdr:from>
    <xdr:to>
      <xdr:col>7</xdr:col>
      <xdr:colOff>171450</xdr:colOff>
      <xdr:row>40</xdr:row>
      <xdr:rowOff>34017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1085848</xdr:colOff>
      <xdr:row>22</xdr:row>
      <xdr:rowOff>133349</xdr:rowOff>
    </xdr:from>
    <xdr:to>
      <xdr:col>4</xdr:col>
      <xdr:colOff>819150</xdr:colOff>
      <xdr:row>55</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1085848</xdr:colOff>
      <xdr:row>14</xdr:row>
      <xdr:rowOff>133349</xdr:rowOff>
    </xdr:from>
    <xdr:to>
      <xdr:col>4</xdr:col>
      <xdr:colOff>819150</xdr:colOff>
      <xdr:row>47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15</xdr:row>
      <xdr:rowOff>66675</xdr:rowOff>
    </xdr:from>
    <xdr:to>
      <xdr:col>4</xdr:col>
      <xdr:colOff>904875</xdr:colOff>
      <xdr:row>41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nance.bpa.gov/FR/audit/year-end/Lists/FCRPS%20Year%20End%20%20FY13/Attachments/172/PBC%2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S2529\AppData\Local\Microsoft\Windows\Temporary%20Internet%20Files\Content.Outlook\O15ARXQ4\inactive\bpa_mrv2008.xn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B0422\AppData\Local\Microsoft\Windows\Temporary%20Internet%20Files\Content.Outlook\SVIJCXTX\4h10c%20FRG%20Queries%20and%20FRS%20nVision%20Report_Periods%201-12%20201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sheetName val="True-Up"/>
      <sheetName val="Summary"/>
      <sheetName val="nVision"/>
      <sheetName val="Power Purchases"/>
    </sheetNames>
    <sheetDataSet>
      <sheetData sheetId="0"/>
      <sheetData sheetId="1"/>
      <sheetData sheetId="2">
        <row r="8">
          <cell r="O8">
            <v>242.98336318999998</v>
          </cell>
        </row>
      </sheetData>
      <sheetData sheetId="3">
        <row r="3">
          <cell r="E3" t="str">
            <v>2013-09-30</v>
          </cell>
        </row>
        <row r="7">
          <cell r="E7" t="str">
            <v>4H10C_13</v>
          </cell>
        </row>
        <row r="8">
          <cell r="E8" t="str">
            <v>2013</v>
          </cell>
        </row>
        <row r="9">
          <cell r="E9">
            <v>0.223</v>
          </cell>
        </row>
        <row r="10">
          <cell r="E10" t="str">
            <v>10/01/2012</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heetName val="Documentation"/>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yout"/>
      <sheetName val="Documentation"/>
      <sheetName val="Validation"/>
      <sheetName val="Exp Query"/>
      <sheetName val="Exp Data"/>
      <sheetName val="Cap Query"/>
      <sheetName val="Cap Data"/>
      <sheetName val="PISCES Query"/>
      <sheetName val="PISCES Data"/>
    </sheetNames>
    <sheetDataSet>
      <sheetData sheetId="0">
        <row r="3">
          <cell r="E3" t="str">
            <v>2014-09-30</v>
          </cell>
        </row>
        <row r="4">
          <cell r="E4" t="str">
            <v>0410_FCRPS_FY14_4H10C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A7" sqref="A7"/>
    </sheetView>
  </sheetViews>
  <sheetFormatPr defaultRowHeight="15" x14ac:dyDescent="0.25"/>
  <cols>
    <col min="1" max="1" width="63.140625" style="96" bestFit="1" customWidth="1"/>
    <col min="2" max="2" width="9.5703125" style="96" bestFit="1" customWidth="1"/>
    <col min="3" max="6" width="9.140625" style="96"/>
    <col min="7" max="7" width="9.140625" style="96" customWidth="1"/>
    <col min="8" max="16384" width="9.140625" style="96"/>
  </cols>
  <sheetData>
    <row r="1" spans="1:5" x14ac:dyDescent="0.25">
      <c r="A1" s="26" t="s">
        <v>311</v>
      </c>
    </row>
    <row r="3" spans="1:5" ht="16.5" x14ac:dyDescent="0.3">
      <c r="A3" s="26" t="s">
        <v>278</v>
      </c>
      <c r="B3" s="22"/>
    </row>
    <row r="4" spans="1:5" ht="16.5" x14ac:dyDescent="0.3">
      <c r="A4" s="22"/>
      <c r="B4" s="22"/>
    </row>
    <row r="5" spans="1:5" ht="16.5" x14ac:dyDescent="0.3">
      <c r="A5" s="22" t="s">
        <v>226</v>
      </c>
      <c r="B5" s="189">
        <v>258.10000000000002</v>
      </c>
    </row>
    <row r="6" spans="1:5" ht="16.5" x14ac:dyDescent="0.3">
      <c r="A6" s="22" t="s">
        <v>312</v>
      </c>
      <c r="B6" s="186">
        <v>76.599999999999994</v>
      </c>
    </row>
    <row r="7" spans="1:5" ht="16.5" x14ac:dyDescent="0.3">
      <c r="A7" s="22" t="s">
        <v>228</v>
      </c>
      <c r="B7" s="187">
        <v>48.2</v>
      </c>
    </row>
    <row r="8" spans="1:5" ht="16.5" x14ac:dyDescent="0.3">
      <c r="A8" s="22" t="s">
        <v>227</v>
      </c>
      <c r="B8" s="187">
        <v>28.6</v>
      </c>
    </row>
    <row r="9" spans="1:5" ht="16.5" x14ac:dyDescent="0.3">
      <c r="A9" s="22" t="s">
        <v>229</v>
      </c>
      <c r="B9" s="187">
        <v>6</v>
      </c>
    </row>
    <row r="10" spans="1:5" ht="16.5" x14ac:dyDescent="0.3">
      <c r="A10" s="22" t="s">
        <v>230</v>
      </c>
      <c r="B10" s="187">
        <v>5.36</v>
      </c>
    </row>
    <row r="11" spans="1:5" ht="16.5" x14ac:dyDescent="0.3">
      <c r="A11" s="22" t="s">
        <v>231</v>
      </c>
      <c r="B11" s="185">
        <v>85.6</v>
      </c>
    </row>
    <row r="12" spans="1:5" ht="16.5" x14ac:dyDescent="0.3">
      <c r="A12" s="22" t="s">
        <v>232</v>
      </c>
      <c r="B12" s="185">
        <v>62.6</v>
      </c>
    </row>
    <row r="13" spans="1:5" ht="16.5" x14ac:dyDescent="0.3">
      <c r="A13" s="22" t="s">
        <v>233</v>
      </c>
      <c r="B13" s="188">
        <v>50.3</v>
      </c>
    </row>
    <row r="14" spans="1:5" ht="16.5" x14ac:dyDescent="0.3">
      <c r="A14" s="22" t="s">
        <v>40</v>
      </c>
      <c r="B14" s="159">
        <f>SUM(B5:B13)</f>
        <v>621.36</v>
      </c>
    </row>
    <row r="15" spans="1:5" ht="16.5" x14ac:dyDescent="0.3">
      <c r="A15" s="22"/>
      <c r="B15" s="22"/>
    </row>
    <row r="16" spans="1:5" ht="86.25" customHeight="1" x14ac:dyDescent="0.3">
      <c r="A16" s="190"/>
      <c r="B16" s="190"/>
      <c r="C16" s="190"/>
      <c r="D16" s="190"/>
      <c r="E16" s="190"/>
    </row>
  </sheetData>
  <mergeCells count="1">
    <mergeCell ref="A16:E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7" zoomScale="85" zoomScaleNormal="85" workbookViewId="0">
      <selection activeCell="A16" sqref="A16:G16"/>
    </sheetView>
  </sheetViews>
  <sheetFormatPr defaultRowHeight="15" x14ac:dyDescent="0.25"/>
  <cols>
    <col min="1" max="1" width="55.28515625" style="96" customWidth="1"/>
    <col min="2" max="3" width="19.85546875" style="96" customWidth="1"/>
    <col min="4" max="6" width="17.42578125" style="96" customWidth="1"/>
    <col min="7" max="7" width="16.42578125" style="96" customWidth="1"/>
    <col min="8" max="16384" width="9.140625" style="96"/>
  </cols>
  <sheetData>
    <row r="1" spans="1:8" ht="22.5" customHeight="1" x14ac:dyDescent="0.25">
      <c r="A1" s="215" t="s">
        <v>265</v>
      </c>
      <c r="B1" s="215"/>
      <c r="C1" s="215"/>
      <c r="D1" s="215"/>
      <c r="E1" s="215"/>
      <c r="F1" s="215"/>
      <c r="G1" s="215"/>
    </row>
    <row r="2" spans="1:8" ht="22.5" customHeight="1" x14ac:dyDescent="0.3">
      <c r="A2" s="100" t="s">
        <v>264</v>
      </c>
      <c r="B2" s="143"/>
      <c r="C2" s="143"/>
      <c r="D2" s="143"/>
      <c r="E2" s="143"/>
      <c r="F2" s="161"/>
      <c r="G2" s="143"/>
    </row>
    <row r="3" spans="1:8" ht="18.75" x14ac:dyDescent="0.25">
      <c r="A3" s="104" t="s">
        <v>122</v>
      </c>
      <c r="B3" s="103">
        <v>2011</v>
      </c>
      <c r="C3" s="103">
        <v>2012</v>
      </c>
      <c r="D3" s="103">
        <v>2013</v>
      </c>
      <c r="E3" s="103">
        <v>2014</v>
      </c>
      <c r="F3" s="103" t="s">
        <v>279</v>
      </c>
      <c r="G3" s="103">
        <v>2016</v>
      </c>
      <c r="H3" s="96" t="s">
        <v>111</v>
      </c>
    </row>
    <row r="4" spans="1:8" ht="17.25" x14ac:dyDescent="0.3">
      <c r="A4" s="102" t="s">
        <v>121</v>
      </c>
      <c r="B4" s="179">
        <v>121317883.59999999</v>
      </c>
      <c r="C4" s="179">
        <v>115404913</v>
      </c>
      <c r="D4" s="179">
        <v>95365193</v>
      </c>
      <c r="E4" s="180">
        <v>86071758</v>
      </c>
      <c r="F4" s="180">
        <v>90272231.799999997</v>
      </c>
      <c r="G4" s="180">
        <v>89290955.609999999</v>
      </c>
      <c r="H4" s="106">
        <f>G4/SUM(G$4:G$10)</f>
        <v>0.35225931096678492</v>
      </c>
    </row>
    <row r="5" spans="1:8" ht="17.25" x14ac:dyDescent="0.3">
      <c r="A5" s="102" t="s">
        <v>120</v>
      </c>
      <c r="B5" s="179">
        <v>50870890</v>
      </c>
      <c r="C5" s="179">
        <v>73383217</v>
      </c>
      <c r="D5" s="179">
        <v>61857476</v>
      </c>
      <c r="E5" s="180">
        <v>78704753</v>
      </c>
      <c r="F5" s="180">
        <v>68248817.269999996</v>
      </c>
      <c r="G5" s="180">
        <v>60368287.25</v>
      </c>
      <c r="H5" s="106">
        <f t="shared" ref="H5:H11" si="0">G5/SUM(G$4:G$10)</f>
        <v>0.2381572817275166</v>
      </c>
    </row>
    <row r="6" spans="1:8" ht="17.25" x14ac:dyDescent="0.3">
      <c r="A6" s="102" t="s">
        <v>119</v>
      </c>
      <c r="B6" s="179">
        <v>86884303.599999994</v>
      </c>
      <c r="C6" s="179">
        <v>85320690</v>
      </c>
      <c r="D6" s="179">
        <v>101607686</v>
      </c>
      <c r="E6" s="180">
        <v>61266093</v>
      </c>
      <c r="F6" s="180">
        <v>97958650.379999995</v>
      </c>
      <c r="G6" s="180">
        <v>93022211.670000002</v>
      </c>
      <c r="H6" s="106">
        <f t="shared" si="0"/>
        <v>0.36697938737045871</v>
      </c>
    </row>
    <row r="7" spans="1:8" ht="17.25" x14ac:dyDescent="0.3">
      <c r="A7" s="102" t="s">
        <v>113</v>
      </c>
      <c r="B7" s="179">
        <v>3598371</v>
      </c>
      <c r="C7" s="179">
        <v>2367853</v>
      </c>
      <c r="D7" s="179">
        <v>589410</v>
      </c>
      <c r="E7" s="180">
        <v>989723</v>
      </c>
      <c r="F7" s="180">
        <v>938155.66</v>
      </c>
      <c r="G7" s="180">
        <v>1085664.31</v>
      </c>
      <c r="H7" s="106">
        <f t="shared" si="0"/>
        <v>4.2830246262814077E-3</v>
      </c>
    </row>
    <row r="8" spans="1:8" ht="17.25" x14ac:dyDescent="0.3">
      <c r="A8" s="102" t="s">
        <v>118</v>
      </c>
      <c r="B8" s="179">
        <v>17984028</v>
      </c>
      <c r="C8" s="179">
        <v>11143660</v>
      </c>
      <c r="D8" s="179">
        <v>7215356</v>
      </c>
      <c r="E8" s="180">
        <v>8285323</v>
      </c>
      <c r="F8" s="180">
        <v>5345068.57</v>
      </c>
      <c r="G8" s="180">
        <v>7243972.96</v>
      </c>
      <c r="H8" s="106">
        <f t="shared" si="0"/>
        <v>2.8577999934249126E-2</v>
      </c>
    </row>
    <row r="9" spans="1:8" ht="17.25" x14ac:dyDescent="0.3">
      <c r="A9" s="102" t="s">
        <v>117</v>
      </c>
      <c r="B9" s="179">
        <v>1610361</v>
      </c>
      <c r="C9" s="179">
        <v>1983288</v>
      </c>
      <c r="D9" s="179">
        <v>2042752</v>
      </c>
      <c r="E9" s="180">
        <v>1859249</v>
      </c>
      <c r="F9" s="180">
        <v>1991757.54</v>
      </c>
      <c r="G9" s="180">
        <v>1827278.44</v>
      </c>
      <c r="H9" s="106">
        <f t="shared" si="0"/>
        <v>7.208746281429361E-3</v>
      </c>
    </row>
    <row r="10" spans="1:8" ht="17.25" x14ac:dyDescent="0.3">
      <c r="A10" s="102" t="s">
        <v>116</v>
      </c>
      <c r="B10" s="179">
        <v>622594</v>
      </c>
      <c r="C10" s="179">
        <v>883615</v>
      </c>
      <c r="D10" s="179">
        <v>524606</v>
      </c>
      <c r="E10" s="180">
        <v>494000</v>
      </c>
      <c r="F10" s="180">
        <v>763224.97</v>
      </c>
      <c r="G10" s="180">
        <v>642383.37</v>
      </c>
      <c r="H10" s="106">
        <f t="shared" si="0"/>
        <v>2.5342490932797092E-3</v>
      </c>
    </row>
    <row r="11" spans="1:8" ht="19.5" x14ac:dyDescent="0.3">
      <c r="A11" s="100" t="s">
        <v>115</v>
      </c>
      <c r="B11" s="179">
        <f>292+10988+28315184</f>
        <v>28326464</v>
      </c>
      <c r="C11" s="179">
        <f>11994+15910542</f>
        <v>15922536</v>
      </c>
      <c r="D11" s="181">
        <v>21899413</v>
      </c>
      <c r="E11" s="182">
        <v>31463211</v>
      </c>
      <c r="F11" s="182">
        <v>14032643.140000001</v>
      </c>
      <c r="G11" s="182">
        <v>20691420.34</v>
      </c>
      <c r="H11" s="106">
        <f t="shared" si="0"/>
        <v>8.1629157422481738E-2</v>
      </c>
    </row>
    <row r="12" spans="1:8" ht="18" thickBot="1" x14ac:dyDescent="0.35">
      <c r="A12" s="100"/>
      <c r="B12" s="101">
        <f>SUM(B4:B11)</f>
        <v>311214895.19999999</v>
      </c>
      <c r="C12" s="101">
        <f>SUM(C4:C11)</f>
        <v>306409772</v>
      </c>
      <c r="D12" s="101">
        <f>SUM(D4:D11)</f>
        <v>291101892</v>
      </c>
      <c r="E12" s="101">
        <f>SUM(E4:E11)</f>
        <v>269134110</v>
      </c>
      <c r="F12" s="101"/>
      <c r="G12" s="101">
        <f>SUM(G4:G11)</f>
        <v>274172173.95000005</v>
      </c>
    </row>
    <row r="13" spans="1:8" ht="18" thickTop="1" x14ac:dyDescent="0.3">
      <c r="A13" s="100"/>
      <c r="B13" s="100"/>
      <c r="C13" s="100"/>
      <c r="D13" s="100"/>
      <c r="E13" s="100"/>
      <c r="F13" s="100"/>
      <c r="G13" s="99"/>
    </row>
    <row r="14" spans="1:8" ht="15.75" x14ac:dyDescent="0.25">
      <c r="A14" s="98" t="s">
        <v>2</v>
      </c>
      <c r="B14" s="98"/>
      <c r="C14" s="98"/>
    </row>
    <row r="15" spans="1:8" ht="20.25" customHeight="1" x14ac:dyDescent="0.25">
      <c r="A15" s="214" t="s">
        <v>114</v>
      </c>
      <c r="B15" s="214"/>
      <c r="C15" s="214"/>
      <c r="D15" s="214"/>
      <c r="E15" s="214"/>
      <c r="F15" s="214"/>
      <c r="G15" s="214"/>
      <c r="H15" s="97"/>
    </row>
    <row r="16" spans="1:8" ht="48" customHeight="1" x14ac:dyDescent="0.25">
      <c r="A16" s="214" t="s">
        <v>266</v>
      </c>
      <c r="B16" s="214"/>
      <c r="C16" s="214"/>
      <c r="D16" s="214"/>
      <c r="E16" s="214"/>
      <c r="F16" s="214"/>
      <c r="G16" s="214"/>
      <c r="H16" s="97"/>
    </row>
    <row r="17" spans="1:8" ht="21.75" customHeight="1" x14ac:dyDescent="0.25">
      <c r="A17" s="214" t="s">
        <v>280</v>
      </c>
      <c r="B17" s="214"/>
      <c r="C17" s="214"/>
      <c r="D17" s="214"/>
      <c r="E17" s="214"/>
      <c r="F17" s="214"/>
      <c r="G17" s="214"/>
      <c r="H17" s="97"/>
    </row>
    <row r="19" spans="1:8" ht="15.75" x14ac:dyDescent="0.25">
      <c r="A19" s="105" t="s">
        <v>293</v>
      </c>
    </row>
  </sheetData>
  <mergeCells count="4">
    <mergeCell ref="A17:G17"/>
    <mergeCell ref="A15:G15"/>
    <mergeCell ref="A16:G16"/>
    <mergeCell ref="A1:G1"/>
  </mergeCells>
  <pageMargins left="0.7" right="0.7" top="0.75" bottom="0.75" header="0.3" footer="0.3"/>
  <pageSetup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62" zoomScale="85" zoomScaleNormal="85" workbookViewId="0">
      <selection activeCell="F74" sqref="F74"/>
    </sheetView>
  </sheetViews>
  <sheetFormatPr defaultRowHeight="16.5" x14ac:dyDescent="0.3"/>
  <cols>
    <col min="1" max="1" width="12.42578125" style="120" bestFit="1" customWidth="1"/>
    <col min="2" max="2" width="66.140625" style="119" customWidth="1"/>
    <col min="3" max="3" width="13.7109375" style="118" customWidth="1"/>
    <col min="4" max="5" width="13.7109375" style="118" bestFit="1" customWidth="1"/>
    <col min="6" max="9" width="13.7109375" style="117" bestFit="1" customWidth="1"/>
    <col min="10" max="16384" width="9.140625" style="117"/>
  </cols>
  <sheetData>
    <row r="1" spans="1:9" ht="27.75" customHeight="1" x14ac:dyDescent="0.3">
      <c r="A1" s="217" t="s">
        <v>267</v>
      </c>
      <c r="B1" s="217"/>
      <c r="C1" s="217"/>
      <c r="D1" s="217"/>
      <c r="E1" s="217"/>
      <c r="F1" s="217"/>
      <c r="G1" s="217"/>
      <c r="H1" s="217"/>
      <c r="I1" s="217"/>
    </row>
    <row r="2" spans="1:9" s="132" customFormat="1" ht="32.25" customHeight="1" x14ac:dyDescent="0.3">
      <c r="A2" s="134" t="s">
        <v>184</v>
      </c>
      <c r="B2" s="134" t="s">
        <v>183</v>
      </c>
      <c r="C2" s="133">
        <v>2010</v>
      </c>
      <c r="D2" s="133">
        <v>2011</v>
      </c>
      <c r="E2" s="133">
        <v>2012</v>
      </c>
      <c r="F2" s="133">
        <v>2013</v>
      </c>
      <c r="G2" s="133">
        <v>2014</v>
      </c>
      <c r="H2" s="133" t="s">
        <v>294</v>
      </c>
      <c r="I2" s="133">
        <v>2016</v>
      </c>
    </row>
    <row r="3" spans="1:9" x14ac:dyDescent="0.3">
      <c r="A3" s="120" t="s">
        <v>182</v>
      </c>
      <c r="B3" s="119" t="s">
        <v>180</v>
      </c>
      <c r="C3" s="118">
        <v>18886192</v>
      </c>
      <c r="D3" s="118">
        <v>16437276</v>
      </c>
      <c r="E3" s="118">
        <v>15281324</v>
      </c>
      <c r="F3" s="118">
        <v>16789765.34</v>
      </c>
      <c r="G3" s="118">
        <v>18302893.870000001</v>
      </c>
      <c r="H3" s="118">
        <v>18662085.170000002</v>
      </c>
      <c r="I3" s="118">
        <v>20288062.460000001</v>
      </c>
    </row>
    <row r="4" spans="1:9" x14ac:dyDescent="0.3">
      <c r="B4" s="119" t="s">
        <v>181</v>
      </c>
      <c r="C4" s="118">
        <v>8214596</v>
      </c>
      <c r="D4" s="118">
        <v>10011126</v>
      </c>
      <c r="E4" s="118">
        <v>10226671.5</v>
      </c>
      <c r="F4" s="118">
        <v>7294105.1900000004</v>
      </c>
      <c r="G4" s="118">
        <v>6823152.6100000003</v>
      </c>
      <c r="H4" s="118">
        <v>7869433</v>
      </c>
      <c r="I4" s="118">
        <v>6916949.9299999997</v>
      </c>
    </row>
    <row r="5" spans="1:9" x14ac:dyDescent="0.3">
      <c r="B5" s="119" t="s">
        <v>179</v>
      </c>
      <c r="C5" s="118">
        <v>2640768</v>
      </c>
      <c r="D5" s="118">
        <v>2842702</v>
      </c>
      <c r="E5" s="118">
        <v>2472045.7200000002</v>
      </c>
      <c r="F5" s="118">
        <v>2845423.81</v>
      </c>
      <c r="G5" s="118">
        <v>3425748.4</v>
      </c>
      <c r="H5" s="118">
        <v>2718120.18</v>
      </c>
      <c r="I5" s="118">
        <v>3027580.13</v>
      </c>
    </row>
    <row r="6" spans="1:9" x14ac:dyDescent="0.3">
      <c r="B6" s="119" t="s">
        <v>175</v>
      </c>
      <c r="C6" s="118">
        <v>1760653</v>
      </c>
      <c r="D6" s="118">
        <v>2385971</v>
      </c>
      <c r="E6" s="118">
        <v>3135563.61</v>
      </c>
      <c r="F6" s="118">
        <v>2209566.7000000002</v>
      </c>
      <c r="G6" s="118">
        <v>1704163.07</v>
      </c>
      <c r="H6" s="118">
        <v>1705065.54</v>
      </c>
      <c r="I6" s="118">
        <v>1809299.77</v>
      </c>
    </row>
    <row r="7" spans="1:9" x14ac:dyDescent="0.3">
      <c r="B7" s="119" t="s">
        <v>177</v>
      </c>
      <c r="C7" s="118">
        <v>205064</v>
      </c>
      <c r="D7" s="118">
        <v>358523</v>
      </c>
      <c r="E7" s="118">
        <v>358213.68</v>
      </c>
      <c r="F7" s="118">
        <v>604601.54</v>
      </c>
      <c r="G7" s="118">
        <v>171313.17</v>
      </c>
      <c r="H7" s="118">
        <v>309498.65000000002</v>
      </c>
      <c r="I7" s="118">
        <v>1278360.5900000001</v>
      </c>
    </row>
    <row r="8" spans="1:9" x14ac:dyDescent="0.3">
      <c r="B8" s="119" t="s">
        <v>176</v>
      </c>
      <c r="C8" s="118">
        <v>1649120</v>
      </c>
      <c r="D8" s="118">
        <v>1124508</v>
      </c>
      <c r="E8" s="118">
        <v>851567.22</v>
      </c>
      <c r="F8" s="118">
        <v>819257.58</v>
      </c>
      <c r="G8" s="118">
        <v>813991.96</v>
      </c>
      <c r="H8" s="118">
        <v>309565.11</v>
      </c>
      <c r="I8" s="118">
        <v>962584.71</v>
      </c>
    </row>
    <row r="9" spans="1:9" x14ac:dyDescent="0.3">
      <c r="B9" s="119" t="s">
        <v>295</v>
      </c>
      <c r="C9" s="118">
        <v>1476028</v>
      </c>
      <c r="D9" s="118">
        <v>750143</v>
      </c>
      <c r="E9" s="118">
        <v>573644.63</v>
      </c>
      <c r="F9" s="118">
        <v>381426.58</v>
      </c>
      <c r="G9" s="118">
        <v>379050.12</v>
      </c>
      <c r="H9" s="118">
        <v>625655.61</v>
      </c>
      <c r="I9" s="118">
        <v>793662.27</v>
      </c>
    </row>
    <row r="10" spans="1:9" x14ac:dyDescent="0.3">
      <c r="B10" s="119" t="s">
        <v>178</v>
      </c>
      <c r="C10" s="118">
        <v>180104</v>
      </c>
      <c r="D10" s="118">
        <v>160153</v>
      </c>
      <c r="E10" s="118">
        <v>237485.58</v>
      </c>
      <c r="F10" s="118">
        <v>181861.7</v>
      </c>
      <c r="G10" s="118">
        <v>312773.18</v>
      </c>
      <c r="H10" s="118">
        <v>714662.68</v>
      </c>
      <c r="I10" s="118">
        <v>263562.12</v>
      </c>
    </row>
    <row r="11" spans="1:9" x14ac:dyDescent="0.3">
      <c r="B11" s="119" t="s">
        <v>136</v>
      </c>
      <c r="C11" s="118">
        <v>444850</v>
      </c>
      <c r="D11" s="118">
        <v>904925</v>
      </c>
      <c r="F11" s="118">
        <v>178002</v>
      </c>
      <c r="G11" s="118">
        <v>50000</v>
      </c>
      <c r="H11" s="118">
        <v>50000</v>
      </c>
      <c r="I11" s="118"/>
    </row>
    <row r="12" spans="1:9" x14ac:dyDescent="0.3">
      <c r="A12" s="218" t="s">
        <v>174</v>
      </c>
      <c r="B12" s="219"/>
      <c r="C12" s="123">
        <f t="shared" ref="C12:I12" si="0">SUM(C3:C11)</f>
        <v>35457375</v>
      </c>
      <c r="D12" s="123">
        <f t="shared" si="0"/>
        <v>34975327</v>
      </c>
      <c r="E12" s="123">
        <f t="shared" si="0"/>
        <v>33136515.939999994</v>
      </c>
      <c r="F12" s="123">
        <f t="shared" si="0"/>
        <v>31304010.439999994</v>
      </c>
      <c r="G12" s="122">
        <f t="shared" si="0"/>
        <v>31983086.380000003</v>
      </c>
      <c r="H12" s="122">
        <f t="shared" si="0"/>
        <v>32964085.939999998</v>
      </c>
      <c r="I12" s="122">
        <f t="shared" si="0"/>
        <v>35340061.979999997</v>
      </c>
    </row>
    <row r="13" spans="1:9" x14ac:dyDescent="0.3">
      <c r="F13" s="118"/>
      <c r="G13" s="118"/>
      <c r="H13" s="118"/>
      <c r="I13" s="118"/>
    </row>
    <row r="14" spans="1:9" x14ac:dyDescent="0.3">
      <c r="A14" s="120" t="s">
        <v>122</v>
      </c>
      <c r="B14" s="119" t="s">
        <v>173</v>
      </c>
      <c r="C14" s="118">
        <v>13269950</v>
      </c>
      <c r="D14" s="118">
        <v>10238326</v>
      </c>
      <c r="E14" s="118">
        <v>15805508.949999999</v>
      </c>
      <c r="F14" s="118">
        <v>13248074.52</v>
      </c>
      <c r="G14" s="118">
        <v>14244565.92</v>
      </c>
      <c r="H14" s="118">
        <v>14416087.09</v>
      </c>
      <c r="I14" s="118">
        <v>15246155.84</v>
      </c>
    </row>
    <row r="15" spans="1:9" x14ac:dyDescent="0.3">
      <c r="B15" s="119" t="s">
        <v>172</v>
      </c>
      <c r="E15" s="118">
        <v>59516.38</v>
      </c>
      <c r="F15" s="118">
        <v>76366.52</v>
      </c>
      <c r="G15" s="118">
        <v>112610.87</v>
      </c>
      <c r="H15" s="118">
        <v>88522.53</v>
      </c>
      <c r="I15" s="118">
        <v>55535.040000000001</v>
      </c>
    </row>
    <row r="16" spans="1:9" x14ac:dyDescent="0.3">
      <c r="B16" s="131" t="s">
        <v>171</v>
      </c>
      <c r="C16" s="130">
        <f t="shared" ref="C16:G16" si="1">SUM(C14:C15)</f>
        <v>13269950</v>
      </c>
      <c r="D16" s="130">
        <f t="shared" si="1"/>
        <v>10238326</v>
      </c>
      <c r="E16" s="130">
        <f t="shared" si="1"/>
        <v>15865025.33</v>
      </c>
      <c r="F16" s="130">
        <f t="shared" si="1"/>
        <v>13324441.039999999</v>
      </c>
      <c r="G16" s="130">
        <f t="shared" si="1"/>
        <v>14357176.789999999</v>
      </c>
      <c r="H16" s="130">
        <f>SUM(H14:H15)</f>
        <v>14504609.619999999</v>
      </c>
      <c r="I16" s="130">
        <f>SUM(I14:I15)</f>
        <v>15301690.879999999</v>
      </c>
    </row>
    <row r="17" spans="1:9" ht="7.5" customHeight="1" x14ac:dyDescent="0.3">
      <c r="F17" s="118"/>
      <c r="G17" s="118"/>
      <c r="H17" s="118"/>
      <c r="I17" s="118"/>
    </row>
    <row r="18" spans="1:9" x14ac:dyDescent="0.3">
      <c r="B18" s="119" t="s">
        <v>170</v>
      </c>
      <c r="C18" s="118">
        <v>9174578</v>
      </c>
      <c r="D18" s="118">
        <v>10847630</v>
      </c>
      <c r="E18" s="118">
        <v>17836560.809999999</v>
      </c>
      <c r="F18" s="118">
        <v>18281035.739999998</v>
      </c>
      <c r="G18" s="118">
        <v>13726829.310000001</v>
      </c>
      <c r="H18" s="118">
        <v>15455053.789999999</v>
      </c>
      <c r="I18" s="118">
        <v>11875775.390000001</v>
      </c>
    </row>
    <row r="19" spans="1:9" x14ac:dyDescent="0.3">
      <c r="B19" s="119" t="s">
        <v>169</v>
      </c>
      <c r="C19" s="118">
        <v>66967</v>
      </c>
      <c r="F19" s="118"/>
      <c r="G19" s="118"/>
      <c r="H19" s="118"/>
      <c r="I19" s="118"/>
    </row>
    <row r="20" spans="1:9" x14ac:dyDescent="0.3">
      <c r="B20" s="119" t="s">
        <v>168</v>
      </c>
      <c r="C20" s="118">
        <v>1397773</v>
      </c>
      <c r="D20" s="118">
        <v>2551533</v>
      </c>
      <c r="E20" s="118">
        <v>2487432.84</v>
      </c>
      <c r="F20" s="118">
        <v>2905499.55</v>
      </c>
      <c r="G20" s="118">
        <v>1368456.31</v>
      </c>
      <c r="H20" s="118">
        <v>2742180.2</v>
      </c>
      <c r="I20" s="118">
        <v>3352209.85</v>
      </c>
    </row>
    <row r="21" spans="1:9" x14ac:dyDescent="0.3">
      <c r="B21" s="131" t="s">
        <v>167</v>
      </c>
      <c r="C21" s="130">
        <f t="shared" ref="C21:G21" si="2">SUM(C18:C20)</f>
        <v>10639318</v>
      </c>
      <c r="D21" s="130">
        <f t="shared" si="2"/>
        <v>13399163</v>
      </c>
      <c r="E21" s="130">
        <f t="shared" si="2"/>
        <v>20323993.649999999</v>
      </c>
      <c r="F21" s="130">
        <f t="shared" si="2"/>
        <v>21186535.289999999</v>
      </c>
      <c r="G21" s="130">
        <f t="shared" si="2"/>
        <v>15095285.620000001</v>
      </c>
      <c r="H21" s="130">
        <f>SUM(H18:H20)</f>
        <v>18197233.989999998</v>
      </c>
      <c r="I21" s="130">
        <f>SUM(I18:I20)</f>
        <v>15227985.24</v>
      </c>
    </row>
    <row r="22" spans="1:9" ht="6" customHeight="1" x14ac:dyDescent="0.3">
      <c r="F22" s="118"/>
      <c r="G22" s="118"/>
      <c r="H22" s="118"/>
      <c r="I22" s="118"/>
    </row>
    <row r="23" spans="1:9" x14ac:dyDescent="0.3">
      <c r="B23" s="119" t="s">
        <v>166</v>
      </c>
      <c r="C23" s="118">
        <v>7712743</v>
      </c>
      <c r="D23" s="118">
        <v>9148722</v>
      </c>
      <c r="E23" s="118">
        <v>11855753.15</v>
      </c>
      <c r="F23" s="118">
        <v>10691474.27</v>
      </c>
      <c r="G23" s="118">
        <v>12164790.199999999</v>
      </c>
      <c r="H23" s="118">
        <v>11894739.43</v>
      </c>
      <c r="I23" s="118">
        <v>12793662.689999999</v>
      </c>
    </row>
    <row r="24" spans="1:9" x14ac:dyDescent="0.3">
      <c r="B24" s="119" t="s">
        <v>165</v>
      </c>
      <c r="C24" s="118">
        <v>181562</v>
      </c>
      <c r="D24" s="118">
        <v>43689</v>
      </c>
      <c r="F24" s="118"/>
      <c r="G24" s="118"/>
      <c r="H24" s="118"/>
      <c r="I24" s="118"/>
    </row>
    <row r="25" spans="1:9" x14ac:dyDescent="0.3">
      <c r="B25" s="131" t="s">
        <v>164</v>
      </c>
      <c r="C25" s="130">
        <f t="shared" ref="C25:I25" si="3">SUM(C23:C24)</f>
        <v>7894305</v>
      </c>
      <c r="D25" s="130">
        <f t="shared" si="3"/>
        <v>9192411</v>
      </c>
      <c r="E25" s="130">
        <f t="shared" si="3"/>
        <v>11855753.15</v>
      </c>
      <c r="F25" s="130">
        <f t="shared" si="3"/>
        <v>10691474.27</v>
      </c>
      <c r="G25" s="130">
        <f t="shared" si="3"/>
        <v>12164790.199999999</v>
      </c>
      <c r="H25" s="130">
        <f t="shared" si="3"/>
        <v>11894739.43</v>
      </c>
      <c r="I25" s="130">
        <f t="shared" si="3"/>
        <v>12793662.689999999</v>
      </c>
    </row>
    <row r="26" spans="1:9" ht="6.75" customHeight="1" x14ac:dyDescent="0.3">
      <c r="F26" s="118"/>
      <c r="G26" s="118"/>
      <c r="H26" s="118"/>
      <c r="I26" s="118"/>
    </row>
    <row r="27" spans="1:9" x14ac:dyDescent="0.3">
      <c r="B27" s="119" t="s">
        <v>163</v>
      </c>
      <c r="C27" s="118">
        <v>2913118</v>
      </c>
      <c r="D27" s="118">
        <v>2414914</v>
      </c>
      <c r="E27" s="118">
        <v>2382531.36</v>
      </c>
      <c r="F27" s="118">
        <v>2777167.37</v>
      </c>
      <c r="G27" s="118">
        <v>3063650.19</v>
      </c>
      <c r="H27" s="118">
        <v>3051536.75</v>
      </c>
      <c r="I27" s="118">
        <v>3810995.26</v>
      </c>
    </row>
    <row r="28" spans="1:9" x14ac:dyDescent="0.3">
      <c r="B28" s="131" t="s">
        <v>162</v>
      </c>
      <c r="C28" s="130">
        <f t="shared" ref="C28:I28" si="4">SUM(C27:C27)</f>
        <v>2913118</v>
      </c>
      <c r="D28" s="130">
        <f t="shared" si="4"/>
        <v>2414914</v>
      </c>
      <c r="E28" s="130">
        <f t="shared" si="4"/>
        <v>2382531.36</v>
      </c>
      <c r="F28" s="130">
        <f t="shared" si="4"/>
        <v>2777167.37</v>
      </c>
      <c r="G28" s="130">
        <f t="shared" si="4"/>
        <v>3063650.19</v>
      </c>
      <c r="H28" s="130">
        <f t="shared" si="4"/>
        <v>3051536.75</v>
      </c>
      <c r="I28" s="130">
        <f t="shared" si="4"/>
        <v>3810995.26</v>
      </c>
    </row>
    <row r="29" spans="1:9" ht="18" customHeight="1" x14ac:dyDescent="0.3">
      <c r="A29" s="220" t="s">
        <v>161</v>
      </c>
      <c r="B29" s="221"/>
      <c r="C29" s="123">
        <f t="shared" ref="C29:I29" si="5">SUM(C28,C25,C21,C16)</f>
        <v>34716691</v>
      </c>
      <c r="D29" s="123">
        <f t="shared" si="5"/>
        <v>35244814</v>
      </c>
      <c r="E29" s="123">
        <f t="shared" si="5"/>
        <v>50427303.489999995</v>
      </c>
      <c r="F29" s="123">
        <f t="shared" si="5"/>
        <v>47979617.969999999</v>
      </c>
      <c r="G29" s="122">
        <f t="shared" si="5"/>
        <v>44680902.799999997</v>
      </c>
      <c r="H29" s="122">
        <f t="shared" si="5"/>
        <v>47648119.789999999</v>
      </c>
      <c r="I29" s="122">
        <f t="shared" si="5"/>
        <v>47134334.069999993</v>
      </c>
    </row>
    <row r="30" spans="1:9" x14ac:dyDescent="0.3">
      <c r="B30" s="129"/>
      <c r="F30" s="118"/>
      <c r="G30" s="118"/>
      <c r="H30" s="118"/>
      <c r="I30" s="118"/>
    </row>
    <row r="31" spans="1:9" x14ac:dyDescent="0.3">
      <c r="A31" s="120" t="s">
        <v>160</v>
      </c>
      <c r="B31" s="119" t="s">
        <v>141</v>
      </c>
      <c r="C31" s="118">
        <v>24319364</v>
      </c>
      <c r="D31" s="118">
        <v>32944242</v>
      </c>
      <c r="E31" s="118">
        <v>25813515.890000001</v>
      </c>
      <c r="F31" s="118">
        <v>25447028.68</v>
      </c>
      <c r="G31" s="118">
        <v>23930423.989999998</v>
      </c>
      <c r="H31" s="118">
        <v>27481990.550000001</v>
      </c>
      <c r="I31" s="118">
        <v>27344154.420000002</v>
      </c>
    </row>
    <row r="32" spans="1:9" x14ac:dyDescent="0.3">
      <c r="B32" s="119" t="s">
        <v>149</v>
      </c>
      <c r="C32" s="118">
        <v>12664313</v>
      </c>
      <c r="D32" s="118">
        <v>15349520</v>
      </c>
      <c r="E32" s="118">
        <v>16073605.48</v>
      </c>
      <c r="F32" s="118">
        <v>15800876.02</v>
      </c>
      <c r="G32" s="118">
        <v>15294864.880000001</v>
      </c>
      <c r="H32" s="118">
        <v>16713068.199999999</v>
      </c>
      <c r="I32" s="118">
        <v>16526286.51</v>
      </c>
    </row>
    <row r="33" spans="2:9" x14ac:dyDescent="0.3">
      <c r="B33" s="119" t="s">
        <v>150</v>
      </c>
      <c r="C33" s="118">
        <v>6938439</v>
      </c>
      <c r="D33" s="118">
        <v>8537716</v>
      </c>
      <c r="E33" s="118">
        <v>12321474</v>
      </c>
      <c r="F33" s="118">
        <v>15094787.6</v>
      </c>
      <c r="G33" s="118">
        <v>21941730.670000002</v>
      </c>
      <c r="H33" s="118">
        <v>11586883.73</v>
      </c>
      <c r="I33" s="118">
        <v>15188306.74</v>
      </c>
    </row>
    <row r="34" spans="2:9" x14ac:dyDescent="0.3">
      <c r="B34" s="119" t="s">
        <v>156</v>
      </c>
      <c r="C34" s="118">
        <v>10278445</v>
      </c>
      <c r="D34" s="118">
        <v>16189398</v>
      </c>
      <c r="E34" s="118">
        <f>21756503.79+237012</f>
        <v>21993515.789999999</v>
      </c>
      <c r="F34" s="118">
        <f>16771295.67+101402</f>
        <v>16872697.670000002</v>
      </c>
      <c r="G34" s="118">
        <v>15116518.9</v>
      </c>
      <c r="H34" s="118">
        <v>14293923.970000001</v>
      </c>
      <c r="I34" s="118">
        <v>15137000.189999999</v>
      </c>
    </row>
    <row r="35" spans="2:9" x14ac:dyDescent="0.3">
      <c r="B35" s="119" t="s">
        <v>144</v>
      </c>
      <c r="C35" s="118">
        <v>8881642</v>
      </c>
      <c r="D35" s="118">
        <v>11365123</v>
      </c>
      <c r="E35" s="118">
        <v>9951477.0299999993</v>
      </c>
      <c r="F35" s="118">
        <v>12122356.76</v>
      </c>
      <c r="G35" s="118">
        <v>12088601.689999999</v>
      </c>
      <c r="H35" s="118">
        <v>11248947.369999999</v>
      </c>
      <c r="I35" s="118">
        <v>10584970.689999999</v>
      </c>
    </row>
    <row r="36" spans="2:9" x14ac:dyDescent="0.3">
      <c r="B36" s="119" t="s">
        <v>157</v>
      </c>
      <c r="C36" s="118">
        <v>6034143</v>
      </c>
      <c r="D36" s="118">
        <v>7660904</v>
      </c>
      <c r="E36" s="118">
        <v>8747388.2599999998</v>
      </c>
      <c r="F36" s="118">
        <v>7939587.2699999996</v>
      </c>
      <c r="G36" s="118">
        <v>8553076.3699999992</v>
      </c>
      <c r="H36" s="118">
        <v>9041925.8399999999</v>
      </c>
      <c r="I36" s="118">
        <v>9140737.4800000004</v>
      </c>
    </row>
    <row r="37" spans="2:9" x14ac:dyDescent="0.3">
      <c r="B37" s="119" t="s">
        <v>153</v>
      </c>
      <c r="C37" s="118">
        <v>6078270</v>
      </c>
      <c r="D37" s="118">
        <v>6859314</v>
      </c>
      <c r="E37" s="118">
        <v>7223658.5800000001</v>
      </c>
      <c r="F37" s="118">
        <v>11203329.99</v>
      </c>
      <c r="G37" s="118">
        <v>5691055.3700000001</v>
      </c>
      <c r="H37" s="118">
        <v>12065436.449999999</v>
      </c>
      <c r="I37" s="118">
        <v>6615139.9800000004</v>
      </c>
    </row>
    <row r="38" spans="2:9" x14ac:dyDescent="0.3">
      <c r="B38" s="119" t="s">
        <v>147</v>
      </c>
      <c r="C38" s="118">
        <v>2438482</v>
      </c>
      <c r="D38" s="118">
        <v>2830660</v>
      </c>
      <c r="E38" s="118">
        <v>2837601.3</v>
      </c>
      <c r="F38" s="118">
        <v>4009231.03</v>
      </c>
      <c r="G38" s="118">
        <v>3551517.74</v>
      </c>
      <c r="H38" s="118">
        <v>3477187.41</v>
      </c>
      <c r="I38" s="118">
        <v>3422312.84</v>
      </c>
    </row>
    <row r="39" spans="2:9" x14ac:dyDescent="0.3">
      <c r="B39" s="119" t="s">
        <v>145</v>
      </c>
      <c r="C39" s="118">
        <v>2761856</v>
      </c>
      <c r="D39" s="118">
        <v>2803647</v>
      </c>
      <c r="E39" s="118">
        <v>2932795.66</v>
      </c>
      <c r="F39" s="118">
        <v>2709869.99</v>
      </c>
      <c r="G39" s="118">
        <v>3314938.77</v>
      </c>
      <c r="H39" s="118">
        <v>2989703.16</v>
      </c>
      <c r="I39" s="118">
        <v>3403932.96</v>
      </c>
    </row>
    <row r="40" spans="2:9" x14ac:dyDescent="0.3">
      <c r="B40" s="119" t="s">
        <v>151</v>
      </c>
      <c r="C40" s="118">
        <v>1928048</v>
      </c>
      <c r="D40" s="118">
        <v>2066331</v>
      </c>
      <c r="E40" s="118">
        <v>2575344.41</v>
      </c>
      <c r="F40" s="118">
        <v>2709447.93</v>
      </c>
      <c r="G40" s="118">
        <v>2962457.34</v>
      </c>
      <c r="H40" s="118">
        <v>3133721.78</v>
      </c>
      <c r="I40" s="118">
        <v>3359053.68</v>
      </c>
    </row>
    <row r="41" spans="2:9" x14ac:dyDescent="0.3">
      <c r="B41" s="119" t="s">
        <v>158</v>
      </c>
      <c r="C41" s="118">
        <v>2444908</v>
      </c>
      <c r="D41" s="118">
        <v>2340704</v>
      </c>
      <c r="E41" s="118">
        <v>2668551.16</v>
      </c>
      <c r="F41" s="118">
        <v>2714055.36</v>
      </c>
      <c r="G41" s="118">
        <v>2606885.94</v>
      </c>
      <c r="H41" s="118">
        <v>2686195.65</v>
      </c>
      <c r="I41" s="118">
        <v>2722811.24</v>
      </c>
    </row>
    <row r="42" spans="2:9" x14ac:dyDescent="0.3">
      <c r="B42" s="119" t="s">
        <v>146</v>
      </c>
      <c r="C42" s="118">
        <v>749767</v>
      </c>
      <c r="D42" s="118">
        <v>841382</v>
      </c>
      <c r="E42" s="118">
        <v>1147875</v>
      </c>
      <c r="F42" s="118">
        <v>694692.43</v>
      </c>
      <c r="G42" s="118">
        <v>626509.31000000006</v>
      </c>
      <c r="H42" s="118">
        <v>1086909.6599999999</v>
      </c>
      <c r="I42" s="118">
        <v>936944.3</v>
      </c>
    </row>
    <row r="43" spans="2:9" x14ac:dyDescent="0.3">
      <c r="B43" s="119" t="s">
        <v>159</v>
      </c>
      <c r="C43" s="118">
        <v>716460</v>
      </c>
      <c r="D43" s="118">
        <v>658775</v>
      </c>
      <c r="E43" s="118">
        <v>831696.91</v>
      </c>
      <c r="F43" s="118">
        <v>610971.79</v>
      </c>
      <c r="G43" s="118">
        <v>761026.25</v>
      </c>
      <c r="H43" s="118">
        <v>1081654.73</v>
      </c>
      <c r="I43" s="118">
        <v>797848.95</v>
      </c>
    </row>
    <row r="44" spans="2:9" x14ac:dyDescent="0.3">
      <c r="B44" s="119" t="s">
        <v>152</v>
      </c>
      <c r="D44" s="118">
        <v>34325</v>
      </c>
      <c r="E44" s="118">
        <v>118229.05</v>
      </c>
      <c r="F44" s="118">
        <v>364936.65</v>
      </c>
      <c r="G44" s="118">
        <v>453801.49</v>
      </c>
      <c r="H44" s="118">
        <v>633054.71999999997</v>
      </c>
      <c r="I44" s="118">
        <v>661307.65</v>
      </c>
    </row>
    <row r="45" spans="2:9" x14ac:dyDescent="0.3">
      <c r="B45" s="119" t="s">
        <v>148</v>
      </c>
      <c r="C45" s="118">
        <v>560467</v>
      </c>
      <c r="D45" s="118">
        <v>430107</v>
      </c>
      <c r="E45" s="118">
        <v>453174.96</v>
      </c>
      <c r="F45" s="118">
        <v>755838.51</v>
      </c>
      <c r="G45" s="118">
        <v>664291.94999999995</v>
      </c>
      <c r="H45" s="118">
        <v>684144.2</v>
      </c>
      <c r="I45" s="118">
        <v>632232.28</v>
      </c>
    </row>
    <row r="46" spans="2:9" x14ac:dyDescent="0.3">
      <c r="B46" s="119" t="s">
        <v>143</v>
      </c>
      <c r="C46" s="118">
        <v>516803</v>
      </c>
      <c r="D46" s="118">
        <v>427731</v>
      </c>
      <c r="E46" s="118">
        <v>403540.21</v>
      </c>
      <c r="F46" s="118">
        <v>389914</v>
      </c>
      <c r="G46" s="118">
        <v>448433.02</v>
      </c>
      <c r="H46" s="118">
        <v>542524.98</v>
      </c>
      <c r="I46" s="118">
        <v>466896</v>
      </c>
    </row>
    <row r="47" spans="2:9" x14ac:dyDescent="0.3">
      <c r="B47" s="119" t="s">
        <v>142</v>
      </c>
      <c r="C47" s="118">
        <v>131067</v>
      </c>
      <c r="D47" s="118">
        <v>148610</v>
      </c>
      <c r="E47" s="118">
        <v>162735.01</v>
      </c>
      <c r="F47" s="118">
        <v>206529.12</v>
      </c>
      <c r="G47" s="118">
        <v>340149.56</v>
      </c>
      <c r="H47" s="118">
        <v>393094.87</v>
      </c>
      <c r="I47" s="118">
        <v>381504.58</v>
      </c>
    </row>
    <row r="48" spans="2:9" ht="16.5" customHeight="1" x14ac:dyDescent="0.3">
      <c r="B48" s="119" t="s">
        <v>155</v>
      </c>
      <c r="C48" s="118">
        <v>93475</v>
      </c>
      <c r="D48" s="118">
        <v>124703</v>
      </c>
      <c r="E48" s="118">
        <v>158296.26999999999</v>
      </c>
      <c r="F48" s="118">
        <v>110571.35</v>
      </c>
      <c r="G48" s="118">
        <v>140397.85999999999</v>
      </c>
      <c r="H48" s="118">
        <v>134869.24</v>
      </c>
      <c r="I48" s="118">
        <v>163102.44</v>
      </c>
    </row>
    <row r="49" spans="1:9" ht="16.5" customHeight="1" x14ac:dyDescent="0.3">
      <c r="B49" s="119" t="s">
        <v>154</v>
      </c>
      <c r="F49" s="118">
        <v>68133.8</v>
      </c>
      <c r="G49" s="118">
        <v>52779.89</v>
      </c>
      <c r="H49" s="118">
        <v>140868.88</v>
      </c>
      <c r="I49" s="118">
        <v>124210.37</v>
      </c>
    </row>
    <row r="50" spans="1:9" x14ac:dyDescent="0.3">
      <c r="B50" s="119" t="s">
        <v>296</v>
      </c>
      <c r="F50" s="118"/>
      <c r="G50" s="118"/>
      <c r="H50" s="118"/>
      <c r="I50" s="118">
        <v>4650</v>
      </c>
    </row>
    <row r="51" spans="1:9" x14ac:dyDescent="0.3">
      <c r="A51" s="220" t="s">
        <v>140</v>
      </c>
      <c r="B51" s="221"/>
      <c r="C51" s="123">
        <f t="shared" ref="C51:I51" si="6">SUM(C31:C50)</f>
        <v>87535949</v>
      </c>
      <c r="D51" s="123">
        <f t="shared" si="6"/>
        <v>111613192</v>
      </c>
      <c r="E51" s="123">
        <f t="shared" si="6"/>
        <v>116414474.96999997</v>
      </c>
      <c r="F51" s="123">
        <f t="shared" si="6"/>
        <v>119824855.95000002</v>
      </c>
      <c r="G51" s="122">
        <f t="shared" si="6"/>
        <v>118539460.98999999</v>
      </c>
      <c r="H51" s="122">
        <f t="shared" si="6"/>
        <v>119416105.39000002</v>
      </c>
      <c r="I51" s="122">
        <f t="shared" si="6"/>
        <v>117613403.30000001</v>
      </c>
    </row>
    <row r="52" spans="1:9" x14ac:dyDescent="0.3">
      <c r="B52" s="128"/>
      <c r="F52" s="118"/>
      <c r="G52" s="118"/>
      <c r="H52" s="118"/>
      <c r="I52" s="118"/>
    </row>
    <row r="53" spans="1:9" ht="30" x14ac:dyDescent="0.3">
      <c r="A53" s="127" t="s">
        <v>139</v>
      </c>
      <c r="B53" s="126" t="s">
        <v>138</v>
      </c>
      <c r="C53" s="123">
        <v>13812821</v>
      </c>
      <c r="D53" s="123">
        <v>13908430</v>
      </c>
      <c r="E53" s="123">
        <v>14053990.26</v>
      </c>
      <c r="F53" s="123">
        <v>12711728.189999999</v>
      </c>
      <c r="G53" s="123">
        <v>13671164.91</v>
      </c>
      <c r="H53" s="123">
        <v>13923765.529999999</v>
      </c>
      <c r="I53" s="122">
        <v>13908920.439999999</v>
      </c>
    </row>
    <row r="54" spans="1:9" x14ac:dyDescent="0.3">
      <c r="F54" s="118"/>
      <c r="G54" s="118"/>
      <c r="H54" s="118"/>
      <c r="I54" s="118"/>
    </row>
    <row r="55" spans="1:9" ht="30" x14ac:dyDescent="0.3">
      <c r="A55" s="127" t="s">
        <v>137</v>
      </c>
      <c r="B55" s="126" t="s">
        <v>297</v>
      </c>
      <c r="C55" s="123">
        <v>3939562</v>
      </c>
      <c r="D55" s="123">
        <v>3662199</v>
      </c>
      <c r="E55" s="123">
        <v>3384748.36</v>
      </c>
      <c r="F55" s="123">
        <v>2800349.96</v>
      </c>
      <c r="G55" s="123">
        <v>3123239.52</v>
      </c>
      <c r="H55" s="123">
        <v>3143475.74</v>
      </c>
      <c r="I55" s="122">
        <v>3036342.71</v>
      </c>
    </row>
    <row r="56" spans="1:9" x14ac:dyDescent="0.3">
      <c r="F56" s="118"/>
      <c r="G56" s="118"/>
      <c r="H56" s="118"/>
      <c r="I56" s="118"/>
    </row>
    <row r="57" spans="1:9" x14ac:dyDescent="0.3">
      <c r="A57" s="120" t="s">
        <v>136</v>
      </c>
      <c r="B57" s="119" t="s">
        <v>135</v>
      </c>
      <c r="C57" s="118">
        <f>13319184-2162548-3471611+16877853</f>
        <v>24562878</v>
      </c>
      <c r="D57" s="118">
        <f>10945519+40925113</f>
        <v>51870632</v>
      </c>
      <c r="E57" s="118">
        <v>37603354.659999996</v>
      </c>
      <c r="F57" s="118">
        <v>36314947.420000002</v>
      </c>
      <c r="G57" s="118">
        <v>21464270.649999999</v>
      </c>
      <c r="H57" s="118">
        <f>10668380.37+13400475.72</f>
        <v>24068856.09</v>
      </c>
      <c r="I57" s="118">
        <v>25183984.760000002</v>
      </c>
    </row>
    <row r="58" spans="1:9" ht="18" x14ac:dyDescent="0.3">
      <c r="B58" s="119" t="s">
        <v>132</v>
      </c>
      <c r="C58" s="118">
        <v>26741905</v>
      </c>
      <c r="D58" s="118">
        <v>52203712</v>
      </c>
      <c r="E58" s="118">
        <v>38048399.530000001</v>
      </c>
      <c r="F58" s="118">
        <v>23741722.07</v>
      </c>
      <c r="G58" s="118">
        <v>20104220.399999999</v>
      </c>
      <c r="H58" s="118">
        <v>22112085.41</v>
      </c>
      <c r="I58" s="118">
        <v>18204477.829999998</v>
      </c>
    </row>
    <row r="59" spans="1:9" x14ac:dyDescent="0.3">
      <c r="B59" s="119" t="s">
        <v>134</v>
      </c>
      <c r="C59" s="125">
        <f>52603+4188123+2901156</f>
        <v>7141882</v>
      </c>
      <c r="D59" s="125">
        <f>1844538+4089379</f>
        <v>5933917</v>
      </c>
      <c r="E59" s="125">
        <v>8235814.3799999999</v>
      </c>
      <c r="F59" s="125">
        <v>7854727.4900000002</v>
      </c>
      <c r="G59" s="125">
        <v>8969539.379999999</v>
      </c>
      <c r="H59" s="125">
        <f>7965754.11+3030019.3</f>
        <v>10995773.41</v>
      </c>
      <c r="I59" s="125">
        <v>7743399.0499999998</v>
      </c>
    </row>
    <row r="60" spans="1:9" x14ac:dyDescent="0.3">
      <c r="B60" s="119" t="s">
        <v>130</v>
      </c>
      <c r="C60" s="118">
        <v>3471611</v>
      </c>
      <c r="D60" s="118">
        <v>4778134</v>
      </c>
      <c r="E60" s="118">
        <v>4833194.43</v>
      </c>
      <c r="F60" s="118">
        <v>5528549.8099999996</v>
      </c>
      <c r="G60" s="118">
        <v>4191459.14</v>
      </c>
      <c r="H60" s="118">
        <v>5148896.25</v>
      </c>
      <c r="I60" s="118">
        <v>4792260.0599999996</v>
      </c>
    </row>
    <row r="61" spans="1:9" x14ac:dyDescent="0.3">
      <c r="B61" s="119" t="s">
        <v>131</v>
      </c>
      <c r="C61" s="118">
        <v>44731</v>
      </c>
      <c r="D61" s="118">
        <v>935038</v>
      </c>
      <c r="E61" s="118">
        <v>1802447.45</v>
      </c>
      <c r="F61" s="118">
        <v>1810123.48</v>
      </c>
      <c r="G61" s="118">
        <v>1862081.77</v>
      </c>
      <c r="H61" s="118">
        <v>2058244.58</v>
      </c>
      <c r="I61" s="118">
        <v>1214989.6599999999</v>
      </c>
    </row>
    <row r="62" spans="1:9" ht="16.5" customHeight="1" x14ac:dyDescent="0.3">
      <c r="B62" s="119" t="s">
        <v>133</v>
      </c>
      <c r="C62" s="118">
        <v>2162548</v>
      </c>
      <c r="D62" s="118">
        <v>1748321</v>
      </c>
      <c r="E62" s="118">
        <v>1611165.69</v>
      </c>
      <c r="F62" s="118">
        <v>1231259.69</v>
      </c>
      <c r="G62" s="118">
        <v>544683.72</v>
      </c>
      <c r="H62" s="118">
        <v>-53709.74</v>
      </c>
      <c r="I62" s="118"/>
    </row>
    <row r="63" spans="1:9" x14ac:dyDescent="0.3">
      <c r="B63" s="119" t="s">
        <v>129</v>
      </c>
      <c r="D63" s="118">
        <v>-5658821</v>
      </c>
      <c r="E63" s="118">
        <v>-3141637.28</v>
      </c>
      <c r="F63" s="118"/>
      <c r="G63" s="118"/>
      <c r="H63" s="118">
        <v>-1875149.14</v>
      </c>
      <c r="I63" s="118"/>
    </row>
    <row r="64" spans="1:9" x14ac:dyDescent="0.3">
      <c r="A64" s="222" t="s">
        <v>128</v>
      </c>
      <c r="B64" s="223"/>
      <c r="C64" s="123">
        <f t="shared" ref="C64:I64" si="7">SUM(C57:C63)</f>
        <v>64125555</v>
      </c>
      <c r="D64" s="123">
        <f t="shared" si="7"/>
        <v>111810933</v>
      </c>
      <c r="E64" s="123">
        <f t="shared" si="7"/>
        <v>88992738.859999999</v>
      </c>
      <c r="F64" s="123">
        <f t="shared" si="7"/>
        <v>76481329.960000008</v>
      </c>
      <c r="G64" s="122">
        <f t="shared" si="7"/>
        <v>57136255.059999995</v>
      </c>
      <c r="H64" s="122">
        <f t="shared" si="7"/>
        <v>62454996.859999992</v>
      </c>
      <c r="I64" s="122">
        <f t="shared" si="7"/>
        <v>57139111.359999999</v>
      </c>
    </row>
    <row r="65" spans="1:9" x14ac:dyDescent="0.3">
      <c r="A65" s="124"/>
      <c r="B65" s="124"/>
      <c r="F65" s="118"/>
      <c r="G65" s="118"/>
      <c r="H65" s="118"/>
      <c r="I65" s="118"/>
    </row>
    <row r="66" spans="1:9" x14ac:dyDescent="0.3">
      <c r="A66" s="220" t="s">
        <v>127</v>
      </c>
      <c r="B66" s="221"/>
      <c r="C66" s="123">
        <f t="shared" ref="C66:I66" si="8">C12+C29+C51+C53+C55+C64</f>
        <v>239587953</v>
      </c>
      <c r="D66" s="123">
        <f t="shared" si="8"/>
        <v>311214895</v>
      </c>
      <c r="E66" s="123">
        <f t="shared" si="8"/>
        <v>306409771.88</v>
      </c>
      <c r="F66" s="123">
        <f t="shared" si="8"/>
        <v>291101892.47000003</v>
      </c>
      <c r="G66" s="122">
        <f t="shared" si="8"/>
        <v>269134109.66000003</v>
      </c>
      <c r="H66" s="122">
        <f t="shared" si="8"/>
        <v>279550549.25</v>
      </c>
      <c r="I66" s="122">
        <f t="shared" si="8"/>
        <v>274172173.86000001</v>
      </c>
    </row>
    <row r="68" spans="1:9" x14ac:dyDescent="0.3">
      <c r="A68" s="120" t="s">
        <v>126</v>
      </c>
    </row>
    <row r="69" spans="1:9" ht="16.5" customHeight="1" x14ac:dyDescent="0.3">
      <c r="A69" s="121" t="s">
        <v>125</v>
      </c>
      <c r="B69" s="121"/>
      <c r="C69" s="121"/>
      <c r="D69" s="121"/>
      <c r="E69" s="121"/>
    </row>
    <row r="70" spans="1:9" x14ac:dyDescent="0.3">
      <c r="A70" s="121" t="s">
        <v>124</v>
      </c>
      <c r="B70" s="121"/>
      <c r="C70" s="121"/>
      <c r="D70" s="121"/>
      <c r="E70" s="121"/>
    </row>
    <row r="71" spans="1:9" x14ac:dyDescent="0.3">
      <c r="A71" s="216" t="s">
        <v>298</v>
      </c>
      <c r="B71" s="216"/>
      <c r="C71" s="216"/>
      <c r="D71" s="216"/>
      <c r="E71" s="216"/>
      <c r="F71" s="216"/>
      <c r="G71" s="216"/>
      <c r="H71" s="216"/>
      <c r="I71" s="216"/>
    </row>
    <row r="74" spans="1:9" ht="33" x14ac:dyDescent="0.3">
      <c r="A74" s="120" t="s">
        <v>185</v>
      </c>
      <c r="B74" s="119" t="s">
        <v>186</v>
      </c>
    </row>
    <row r="76" spans="1:9" x14ac:dyDescent="0.3">
      <c r="A76" s="120" t="s">
        <v>187</v>
      </c>
      <c r="B76" s="135" t="s">
        <v>192</v>
      </c>
      <c r="C76" s="118">
        <v>20288062.460000001</v>
      </c>
      <c r="D76" s="135"/>
    </row>
    <row r="77" spans="1:9" x14ac:dyDescent="0.3">
      <c r="A77" s="120" t="s">
        <v>187</v>
      </c>
      <c r="B77" s="135" t="s">
        <v>193</v>
      </c>
      <c r="C77" s="118">
        <v>6916949.9299999997</v>
      </c>
      <c r="D77" s="135"/>
    </row>
    <row r="78" spans="1:9" x14ac:dyDescent="0.3">
      <c r="A78" s="120" t="s">
        <v>187</v>
      </c>
      <c r="B78" s="135" t="s">
        <v>194</v>
      </c>
      <c r="C78" s="118">
        <v>3027580.13</v>
      </c>
      <c r="D78" s="135"/>
    </row>
    <row r="79" spans="1:9" x14ac:dyDescent="0.3">
      <c r="A79" s="120" t="s">
        <v>187</v>
      </c>
      <c r="B79" s="135" t="s">
        <v>195</v>
      </c>
      <c r="C79" s="118">
        <v>1809299.77</v>
      </c>
      <c r="D79" s="135"/>
    </row>
    <row r="80" spans="1:9" x14ac:dyDescent="0.3">
      <c r="A80" s="120" t="s">
        <v>187</v>
      </c>
      <c r="B80" s="135" t="s">
        <v>299</v>
      </c>
      <c r="C80" s="118">
        <v>1278360.5900000001</v>
      </c>
      <c r="D80" s="135"/>
    </row>
    <row r="81" spans="1:4" x14ac:dyDescent="0.3">
      <c r="A81" s="120" t="s">
        <v>187</v>
      </c>
      <c r="B81" s="135" t="s">
        <v>300</v>
      </c>
      <c r="C81" s="118">
        <v>962584.71</v>
      </c>
      <c r="D81" s="135"/>
    </row>
    <row r="82" spans="1:4" x14ac:dyDescent="0.3">
      <c r="A82" s="120" t="s">
        <v>187</v>
      </c>
      <c r="B82" s="135" t="s">
        <v>196</v>
      </c>
      <c r="C82" s="118">
        <v>1057224</v>
      </c>
      <c r="D82" s="135"/>
    </row>
    <row r="83" spans="1:4" x14ac:dyDescent="0.3">
      <c r="A83" s="120" t="s">
        <v>188</v>
      </c>
      <c r="B83" s="135" t="s">
        <v>197</v>
      </c>
      <c r="C83" s="118">
        <v>15246155.84</v>
      </c>
      <c r="D83" s="135"/>
    </row>
    <row r="84" spans="1:4" x14ac:dyDescent="0.3">
      <c r="A84" s="120" t="s">
        <v>188</v>
      </c>
      <c r="B84" s="135" t="s">
        <v>199</v>
      </c>
      <c r="C84" s="118">
        <v>12793662.689999999</v>
      </c>
      <c r="D84" s="135"/>
    </row>
    <row r="85" spans="1:4" x14ac:dyDescent="0.3">
      <c r="A85" s="120" t="s">
        <v>188</v>
      </c>
      <c r="B85" s="135" t="s">
        <v>198</v>
      </c>
      <c r="C85" s="118">
        <v>11875775.390000001</v>
      </c>
      <c r="D85" s="135"/>
    </row>
    <row r="86" spans="1:4" x14ac:dyDescent="0.3">
      <c r="A86" s="120" t="s">
        <v>188</v>
      </c>
      <c r="B86" s="135" t="s">
        <v>200</v>
      </c>
      <c r="C86" s="118">
        <v>3810995.26</v>
      </c>
      <c r="D86" s="135"/>
    </row>
    <row r="87" spans="1:4" x14ac:dyDescent="0.3">
      <c r="A87" s="120" t="s">
        <v>188</v>
      </c>
      <c r="B87" s="135" t="s">
        <v>201</v>
      </c>
      <c r="C87" s="118">
        <v>3352209.85</v>
      </c>
      <c r="D87" s="135"/>
    </row>
    <row r="88" spans="1:4" x14ac:dyDescent="0.3">
      <c r="A88" s="120" t="s">
        <v>189</v>
      </c>
      <c r="B88" s="135" t="s">
        <v>202</v>
      </c>
      <c r="C88" s="118">
        <v>27344154.420000002</v>
      </c>
      <c r="D88" s="135"/>
    </row>
    <row r="89" spans="1:4" x14ac:dyDescent="0.3">
      <c r="A89" s="120" t="s">
        <v>189</v>
      </c>
      <c r="B89" s="135" t="s">
        <v>204</v>
      </c>
      <c r="C89" s="118">
        <v>16526286.51</v>
      </c>
      <c r="D89" s="135"/>
    </row>
    <row r="90" spans="1:4" x14ac:dyDescent="0.3">
      <c r="A90" s="120" t="s">
        <v>189</v>
      </c>
      <c r="B90" s="135" t="s">
        <v>203</v>
      </c>
      <c r="C90" s="118">
        <v>15188306.74</v>
      </c>
      <c r="D90" s="135"/>
    </row>
    <row r="91" spans="1:4" x14ac:dyDescent="0.3">
      <c r="A91" s="120" t="s">
        <v>189</v>
      </c>
      <c r="B91" s="135" t="s">
        <v>205</v>
      </c>
      <c r="C91" s="118">
        <v>15137000.189999999</v>
      </c>
      <c r="D91" s="135"/>
    </row>
    <row r="92" spans="1:4" x14ac:dyDescent="0.3">
      <c r="A92" s="120" t="s">
        <v>189</v>
      </c>
      <c r="B92" s="135" t="s">
        <v>206</v>
      </c>
      <c r="C92" s="118">
        <v>10584970.689999999</v>
      </c>
      <c r="D92" s="135"/>
    </row>
    <row r="93" spans="1:4" x14ac:dyDescent="0.3">
      <c r="A93" s="120" t="s">
        <v>189</v>
      </c>
      <c r="B93" s="135" t="s">
        <v>207</v>
      </c>
      <c r="C93" s="118">
        <v>9140737.4800000004</v>
      </c>
      <c r="D93" s="135"/>
    </row>
    <row r="94" spans="1:4" x14ac:dyDescent="0.3">
      <c r="A94" s="120" t="s">
        <v>189</v>
      </c>
      <c r="B94" s="135" t="s">
        <v>208</v>
      </c>
      <c r="C94" s="118">
        <v>6615139.9800000004</v>
      </c>
      <c r="D94" s="135"/>
    </row>
    <row r="95" spans="1:4" x14ac:dyDescent="0.3">
      <c r="A95" s="120" t="s">
        <v>189</v>
      </c>
      <c r="B95" s="135" t="s">
        <v>209</v>
      </c>
      <c r="C95" s="118">
        <v>3422312.84</v>
      </c>
      <c r="D95" s="135"/>
    </row>
    <row r="96" spans="1:4" x14ac:dyDescent="0.3">
      <c r="A96" s="120" t="s">
        <v>189</v>
      </c>
      <c r="B96" s="135" t="s">
        <v>210</v>
      </c>
      <c r="C96" s="118">
        <v>3403932.96</v>
      </c>
      <c r="D96" s="135"/>
    </row>
    <row r="97" spans="1:4" x14ac:dyDescent="0.3">
      <c r="A97" s="120" t="s">
        <v>189</v>
      </c>
      <c r="B97" s="135" t="s">
        <v>211</v>
      </c>
      <c r="C97" s="118">
        <v>3359053.68</v>
      </c>
      <c r="D97" s="135"/>
    </row>
    <row r="98" spans="1:4" x14ac:dyDescent="0.3">
      <c r="A98" s="120" t="s">
        <v>189</v>
      </c>
      <c r="B98" s="135" t="s">
        <v>212</v>
      </c>
      <c r="C98" s="118">
        <v>2722811.24</v>
      </c>
      <c r="D98" s="135"/>
    </row>
    <row r="99" spans="1:4" x14ac:dyDescent="0.3">
      <c r="A99" s="120" t="s">
        <v>189</v>
      </c>
      <c r="B99" s="135" t="s">
        <v>272</v>
      </c>
      <c r="C99" s="118">
        <v>936944.3</v>
      </c>
      <c r="D99" s="135"/>
    </row>
    <row r="100" spans="1:4" x14ac:dyDescent="0.3">
      <c r="A100" s="120" t="s">
        <v>189</v>
      </c>
      <c r="B100" s="135" t="s">
        <v>273</v>
      </c>
      <c r="C100" s="118">
        <v>797848.95</v>
      </c>
      <c r="D100" s="135"/>
    </row>
    <row r="101" spans="1:4" ht="18" customHeight="1" x14ac:dyDescent="0.3">
      <c r="A101" s="120" t="s">
        <v>189</v>
      </c>
      <c r="B101" s="135" t="s">
        <v>213</v>
      </c>
      <c r="C101" s="118">
        <v>2433903</v>
      </c>
      <c r="D101" s="135"/>
    </row>
    <row r="102" spans="1:4" x14ac:dyDescent="0.3">
      <c r="A102" s="120" t="s">
        <v>190</v>
      </c>
      <c r="B102" s="135" t="s">
        <v>214</v>
      </c>
      <c r="C102" s="118">
        <v>13908920.439999999</v>
      </c>
      <c r="D102" s="135"/>
    </row>
    <row r="103" spans="1:4" x14ac:dyDescent="0.3">
      <c r="A103" s="120" t="s">
        <v>191</v>
      </c>
      <c r="B103" s="135" t="s">
        <v>191</v>
      </c>
      <c r="C103" s="118">
        <v>3036342.71</v>
      </c>
      <c r="D103" s="135"/>
    </row>
    <row r="104" spans="1:4" x14ac:dyDescent="0.3">
      <c r="A104" s="120" t="s">
        <v>55</v>
      </c>
      <c r="B104" s="135" t="s">
        <v>215</v>
      </c>
      <c r="C104" s="118">
        <v>25183984.760000002</v>
      </c>
      <c r="D104" s="135"/>
    </row>
    <row r="105" spans="1:4" x14ac:dyDescent="0.3">
      <c r="A105" s="120" t="s">
        <v>55</v>
      </c>
      <c r="B105" s="135" t="s">
        <v>216</v>
      </c>
      <c r="C105" s="118">
        <v>18204477.829999998</v>
      </c>
      <c r="D105" s="135"/>
    </row>
    <row r="106" spans="1:4" x14ac:dyDescent="0.3">
      <c r="A106" s="120" t="s">
        <v>55</v>
      </c>
      <c r="B106" s="135" t="s">
        <v>217</v>
      </c>
      <c r="C106" s="125">
        <v>7743399.0499999998</v>
      </c>
    </row>
    <row r="107" spans="1:4" x14ac:dyDescent="0.3">
      <c r="A107" s="120" t="s">
        <v>55</v>
      </c>
      <c r="B107" s="135" t="s">
        <v>218</v>
      </c>
      <c r="C107" s="118">
        <v>4792260.0599999996</v>
      </c>
    </row>
    <row r="108" spans="1:4" x14ac:dyDescent="0.3">
      <c r="A108" s="120" t="s">
        <v>55</v>
      </c>
      <c r="B108" s="135" t="s">
        <v>301</v>
      </c>
      <c r="C108" s="118">
        <v>1214989.6599999999</v>
      </c>
    </row>
  </sheetData>
  <sortState ref="B57:I63">
    <sortCondition descending="1" ref="I57:I63"/>
  </sortState>
  <mergeCells count="7">
    <mergeCell ref="A71:I71"/>
    <mergeCell ref="A1:I1"/>
    <mergeCell ref="A12:B12"/>
    <mergeCell ref="A29:B29"/>
    <mergeCell ref="A51:B51"/>
    <mergeCell ref="A66:B66"/>
    <mergeCell ref="A64:B64"/>
  </mergeCells>
  <pageMargins left="0.25" right="0.25" top="0.75" bottom="0.75" header="0.3" footer="0.3"/>
  <pageSetup scale="8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28" zoomScale="70" zoomScaleNormal="70" workbookViewId="0">
      <selection activeCell="A62" sqref="A62"/>
    </sheetView>
  </sheetViews>
  <sheetFormatPr defaultRowHeight="12.75" x14ac:dyDescent="0.2"/>
  <cols>
    <col min="1" max="1" width="58" customWidth="1"/>
    <col min="2" max="8" width="15.5703125" customWidth="1"/>
  </cols>
  <sheetData>
    <row r="1" spans="1:8" ht="18" x14ac:dyDescent="0.25">
      <c r="A1" s="141" t="str">
        <f>"Table/Figure 11: Direct Program Costs of Land Purchases for Fish and Wildlife Habitat, FY"&amp;B3&amp;"-"&amp;H3</f>
        <v>Table/Figure 11: Direct Program Costs of Land Purchases for Fish and Wildlife Habitat, FY2010-2016</v>
      </c>
    </row>
    <row r="3" spans="1:8" ht="16.5" x14ac:dyDescent="0.2">
      <c r="A3" s="136" t="s">
        <v>56</v>
      </c>
      <c r="B3" s="137">
        <v>2010</v>
      </c>
      <c r="C3" s="137">
        <v>2011</v>
      </c>
      <c r="D3" s="137">
        <v>2012</v>
      </c>
      <c r="E3" s="137">
        <v>2013</v>
      </c>
      <c r="F3" s="137">
        <v>2014</v>
      </c>
      <c r="G3" s="137" t="s">
        <v>294</v>
      </c>
      <c r="H3" s="137">
        <v>2016</v>
      </c>
    </row>
    <row r="4" spans="1:8" ht="16.5" customHeight="1" x14ac:dyDescent="0.3">
      <c r="A4" s="138" t="s">
        <v>220</v>
      </c>
      <c r="B4" s="139">
        <v>1330361</v>
      </c>
      <c r="C4" s="109">
        <v>9716071</v>
      </c>
      <c r="D4" s="109"/>
      <c r="E4" s="109">
        <v>4595329</v>
      </c>
      <c r="F4" s="109"/>
      <c r="G4" s="109">
        <v>1082452</v>
      </c>
      <c r="H4" s="109">
        <v>10868814</v>
      </c>
    </row>
    <row r="5" spans="1:8" ht="16.5" x14ac:dyDescent="0.3">
      <c r="A5" s="138" t="s">
        <v>62</v>
      </c>
      <c r="B5" s="139">
        <v>4750821</v>
      </c>
      <c r="C5" s="109"/>
      <c r="D5" s="109">
        <v>5059268</v>
      </c>
      <c r="E5" s="109"/>
      <c r="F5" s="109">
        <v>14000000</v>
      </c>
      <c r="G5" s="109"/>
      <c r="H5" s="109">
        <v>1877580.5</v>
      </c>
    </row>
    <row r="6" spans="1:8" ht="16.5" x14ac:dyDescent="0.3">
      <c r="A6" s="138" t="s">
        <v>72</v>
      </c>
      <c r="B6" s="139">
        <v>1394126.5</v>
      </c>
      <c r="C6" s="109">
        <v>4068146</v>
      </c>
      <c r="D6" s="109">
        <v>6370225.5</v>
      </c>
      <c r="E6" s="109">
        <v>1596594</v>
      </c>
      <c r="F6" s="109">
        <v>2196196.7799999998</v>
      </c>
      <c r="G6" s="109">
        <v>490964.5</v>
      </c>
      <c r="H6" s="109">
        <v>1815933.75</v>
      </c>
    </row>
    <row r="7" spans="1:8" ht="16.5" x14ac:dyDescent="0.3">
      <c r="A7" s="138" t="s">
        <v>75</v>
      </c>
      <c r="B7" s="139">
        <v>2114907.04</v>
      </c>
      <c r="C7" s="109"/>
      <c r="D7" s="109">
        <v>15381.84</v>
      </c>
      <c r="E7" s="109"/>
      <c r="F7" s="109"/>
      <c r="G7" s="109">
        <v>771010</v>
      </c>
      <c r="H7" s="109">
        <v>1783866</v>
      </c>
    </row>
    <row r="8" spans="1:8" ht="16.5" x14ac:dyDescent="0.3">
      <c r="A8" s="138" t="s">
        <v>73</v>
      </c>
      <c r="B8" s="139"/>
      <c r="C8" s="109">
        <v>1996948</v>
      </c>
      <c r="D8" s="109">
        <v>3666163</v>
      </c>
      <c r="E8" s="109"/>
      <c r="F8" s="109"/>
      <c r="G8" s="109"/>
      <c r="H8" s="109">
        <v>786320</v>
      </c>
    </row>
    <row r="9" spans="1:8" ht="16.5" x14ac:dyDescent="0.3">
      <c r="A9" s="138" t="s">
        <v>63</v>
      </c>
      <c r="B9" s="139">
        <v>3426523</v>
      </c>
      <c r="C9" s="109"/>
      <c r="D9" s="109"/>
      <c r="E9" s="109"/>
      <c r="F9" s="109"/>
      <c r="G9" s="109">
        <v>7980000</v>
      </c>
      <c r="H9" s="109">
        <v>680000</v>
      </c>
    </row>
    <row r="10" spans="1:8" ht="16.5" x14ac:dyDescent="0.3">
      <c r="A10" s="138" t="s">
        <v>78</v>
      </c>
      <c r="B10" s="139">
        <v>1132018.8600000001</v>
      </c>
      <c r="C10" s="109">
        <v>3344161</v>
      </c>
      <c r="D10" s="109">
        <v>4437146.2</v>
      </c>
      <c r="E10" s="109">
        <v>333123.40000000002</v>
      </c>
      <c r="F10" s="109"/>
      <c r="G10" s="109"/>
      <c r="H10" s="109">
        <v>260540</v>
      </c>
    </row>
    <row r="11" spans="1:8" ht="33" x14ac:dyDescent="0.3">
      <c r="A11" s="138" t="s">
        <v>302</v>
      </c>
      <c r="B11" s="139">
        <v>2286471.35</v>
      </c>
      <c r="C11" s="109">
        <v>1750665</v>
      </c>
      <c r="D11" s="109">
        <v>1675162.1</v>
      </c>
      <c r="E11" s="109">
        <v>348570</v>
      </c>
      <c r="F11" s="109"/>
      <c r="G11" s="109"/>
      <c r="H11" s="109">
        <v>85216.5</v>
      </c>
    </row>
    <row r="12" spans="1:8" ht="16.5" x14ac:dyDescent="0.3">
      <c r="A12" s="138" t="s">
        <v>58</v>
      </c>
      <c r="B12" s="139"/>
      <c r="C12" s="109"/>
      <c r="D12" s="109">
        <v>5306043</v>
      </c>
      <c r="E12" s="109">
        <v>1711234.64</v>
      </c>
      <c r="F12" s="109">
        <v>693095.5</v>
      </c>
      <c r="G12" s="109">
        <v>2051603.16</v>
      </c>
      <c r="H12" s="109">
        <v>40307.800000000003</v>
      </c>
    </row>
    <row r="13" spans="1:8" ht="16.5" x14ac:dyDescent="0.3">
      <c r="A13" s="138" t="s">
        <v>69</v>
      </c>
      <c r="B13" s="139">
        <v>540991.57999999996</v>
      </c>
      <c r="C13" s="109">
        <v>5788</v>
      </c>
      <c r="D13" s="109">
        <v>820.08</v>
      </c>
      <c r="E13" s="109">
        <v>5000</v>
      </c>
      <c r="F13" s="109">
        <v>5000</v>
      </c>
      <c r="G13" s="109">
        <v>5729</v>
      </c>
      <c r="H13" s="109">
        <v>5899.13</v>
      </c>
    </row>
    <row r="14" spans="1:8" ht="16.5" x14ac:dyDescent="0.3">
      <c r="A14" s="138" t="s">
        <v>270</v>
      </c>
      <c r="B14" s="139"/>
      <c r="C14" s="109"/>
      <c r="D14" s="109"/>
      <c r="E14" s="109"/>
      <c r="F14" s="109"/>
      <c r="G14" s="109">
        <v>562383</v>
      </c>
      <c r="H14" s="109"/>
    </row>
    <row r="15" spans="1:8" ht="16.5" x14ac:dyDescent="0.3">
      <c r="A15" s="138" t="s">
        <v>57</v>
      </c>
      <c r="B15" s="139"/>
      <c r="C15" s="109"/>
      <c r="D15" s="109">
        <v>1075000</v>
      </c>
      <c r="E15" s="109"/>
      <c r="F15" s="109"/>
      <c r="G15" s="109"/>
      <c r="H15" s="109"/>
    </row>
    <row r="16" spans="1:8" ht="16.5" x14ac:dyDescent="0.3">
      <c r="A16" s="138" t="s">
        <v>81</v>
      </c>
      <c r="B16" s="139"/>
      <c r="C16" s="109"/>
      <c r="D16" s="109"/>
      <c r="E16" s="109">
        <v>1212330</v>
      </c>
      <c r="F16" s="109"/>
      <c r="G16" s="109"/>
      <c r="H16" s="109"/>
    </row>
    <row r="17" spans="1:8" ht="16.5" x14ac:dyDescent="0.3">
      <c r="A17" s="138" t="s">
        <v>59</v>
      </c>
      <c r="B17" s="139">
        <v>3441315.46</v>
      </c>
      <c r="C17" s="109">
        <v>720811</v>
      </c>
      <c r="D17" s="109">
        <v>1743906.48</v>
      </c>
      <c r="E17" s="109">
        <v>1611629.5</v>
      </c>
      <c r="F17" s="109">
        <v>283048.12</v>
      </c>
      <c r="G17" s="109"/>
      <c r="H17" s="109"/>
    </row>
    <row r="18" spans="1:8" ht="16.5" x14ac:dyDescent="0.3">
      <c r="A18" s="138" t="s">
        <v>60</v>
      </c>
      <c r="B18" s="139"/>
      <c r="C18" s="109"/>
      <c r="D18" s="109">
        <v>54304.5</v>
      </c>
      <c r="E18" s="109">
        <v>3596391</v>
      </c>
      <c r="F18" s="109">
        <v>12500</v>
      </c>
      <c r="G18" s="109">
        <v>1741196.75</v>
      </c>
      <c r="H18" s="109"/>
    </row>
    <row r="19" spans="1:8" ht="16.5" x14ac:dyDescent="0.3">
      <c r="A19" s="138" t="s">
        <v>269</v>
      </c>
      <c r="B19" s="139"/>
      <c r="C19" s="109"/>
      <c r="D19" s="109"/>
      <c r="E19" s="109"/>
      <c r="F19" s="109"/>
      <c r="G19" s="109">
        <v>3632833</v>
      </c>
      <c r="H19" s="109"/>
    </row>
    <row r="20" spans="1:8" ht="16.5" x14ac:dyDescent="0.3">
      <c r="A20" s="138" t="s">
        <v>80</v>
      </c>
      <c r="B20" s="139"/>
      <c r="C20" s="109"/>
      <c r="D20" s="109"/>
      <c r="E20" s="109">
        <v>520081</v>
      </c>
      <c r="F20" s="109"/>
      <c r="G20" s="109"/>
      <c r="H20" s="109"/>
    </row>
    <row r="21" spans="1:8" ht="16.5" x14ac:dyDescent="0.3">
      <c r="A21" s="138" t="s">
        <v>268</v>
      </c>
      <c r="B21" s="139"/>
      <c r="C21" s="109"/>
      <c r="D21" s="109"/>
      <c r="E21" s="109"/>
      <c r="F21" s="109"/>
      <c r="G21" s="109">
        <v>423162</v>
      </c>
      <c r="H21" s="109"/>
    </row>
    <row r="22" spans="1:8" ht="16.5" x14ac:dyDescent="0.3">
      <c r="A22" s="138" t="s">
        <v>61</v>
      </c>
      <c r="B22" s="139"/>
      <c r="C22" s="109"/>
      <c r="D22" s="109">
        <v>772500</v>
      </c>
      <c r="E22" s="109">
        <v>1500000</v>
      </c>
      <c r="F22" s="109">
        <v>244082</v>
      </c>
      <c r="G22" s="109">
        <v>947500</v>
      </c>
      <c r="H22" s="109"/>
    </row>
    <row r="23" spans="1:8" ht="16.5" x14ac:dyDescent="0.3">
      <c r="A23" s="138" t="s">
        <v>64</v>
      </c>
      <c r="B23" s="139"/>
      <c r="C23" s="109"/>
      <c r="D23" s="109"/>
      <c r="E23" s="109"/>
      <c r="F23" s="109"/>
      <c r="G23" s="109"/>
      <c r="H23" s="109"/>
    </row>
    <row r="24" spans="1:8" ht="16.5" x14ac:dyDescent="0.3">
      <c r="A24" s="138" t="s">
        <v>65</v>
      </c>
      <c r="B24" s="139"/>
      <c r="C24" s="109"/>
      <c r="D24" s="109">
        <v>946738.51</v>
      </c>
      <c r="E24" s="109"/>
      <c r="F24" s="109"/>
      <c r="G24" s="109"/>
      <c r="H24" s="109"/>
    </row>
    <row r="25" spans="1:8" ht="16.5" x14ac:dyDescent="0.3">
      <c r="A25" s="138" t="s">
        <v>82</v>
      </c>
      <c r="B25" s="139"/>
      <c r="C25" s="109"/>
      <c r="D25" s="109">
        <v>52986</v>
      </c>
      <c r="E25" s="109"/>
      <c r="F25" s="109">
        <v>318372</v>
      </c>
      <c r="G25" s="109"/>
      <c r="H25" s="109"/>
    </row>
    <row r="26" spans="1:8" ht="16.5" x14ac:dyDescent="0.3">
      <c r="A26" s="138" t="s">
        <v>66</v>
      </c>
      <c r="B26" s="139"/>
      <c r="C26" s="109"/>
      <c r="D26" s="109"/>
      <c r="E26" s="109"/>
      <c r="F26" s="109"/>
      <c r="G26" s="109"/>
      <c r="H26" s="109"/>
    </row>
    <row r="27" spans="1:8" ht="16.5" x14ac:dyDescent="0.3">
      <c r="A27" s="138" t="s">
        <v>219</v>
      </c>
      <c r="B27" s="139"/>
      <c r="C27" s="109">
        <v>9750112</v>
      </c>
      <c r="D27" s="109">
        <v>1349403</v>
      </c>
      <c r="E27" s="109">
        <v>642763</v>
      </c>
      <c r="F27" s="109">
        <v>1610425</v>
      </c>
      <c r="G27" s="109">
        <v>154274</v>
      </c>
      <c r="H27" s="109"/>
    </row>
    <row r="28" spans="1:8" ht="16.5" x14ac:dyDescent="0.3">
      <c r="A28" s="138" t="s">
        <v>67</v>
      </c>
      <c r="B28" s="139"/>
      <c r="C28" s="109"/>
      <c r="D28" s="109"/>
      <c r="E28" s="109"/>
      <c r="F28" s="109"/>
      <c r="G28" s="109"/>
      <c r="H28" s="109"/>
    </row>
    <row r="29" spans="1:8" ht="16.5" x14ac:dyDescent="0.3">
      <c r="A29" s="138" t="s">
        <v>68</v>
      </c>
      <c r="B29" s="139">
        <v>2245362.5</v>
      </c>
      <c r="C29" s="109">
        <v>20851010</v>
      </c>
      <c r="D29" s="109"/>
      <c r="E29" s="109">
        <v>3412000</v>
      </c>
      <c r="F29" s="109"/>
      <c r="G29" s="109">
        <v>2268978</v>
      </c>
      <c r="H29" s="109"/>
    </row>
    <row r="30" spans="1:8" ht="16.5" x14ac:dyDescent="0.3">
      <c r="A30" s="138" t="s">
        <v>70</v>
      </c>
      <c r="B30" s="139">
        <v>779252</v>
      </c>
      <c r="C30" s="109"/>
      <c r="D30" s="109"/>
      <c r="E30" s="109">
        <v>600000</v>
      </c>
      <c r="F30" s="109"/>
      <c r="G30" s="109"/>
      <c r="H30" s="109"/>
    </row>
    <row r="31" spans="1:8" ht="33" x14ac:dyDescent="0.3">
      <c r="A31" s="138" t="s">
        <v>71</v>
      </c>
      <c r="B31" s="139">
        <v>33800</v>
      </c>
      <c r="C31" s="109"/>
      <c r="D31" s="109"/>
      <c r="E31" s="109"/>
      <c r="F31" s="109"/>
      <c r="G31" s="109"/>
      <c r="H31" s="109"/>
    </row>
    <row r="32" spans="1:8" ht="16.5" x14ac:dyDescent="0.3">
      <c r="A32" s="138" t="s">
        <v>74</v>
      </c>
      <c r="B32" s="139">
        <v>2259936.5</v>
      </c>
      <c r="C32" s="109"/>
      <c r="D32" s="109">
        <v>3156008</v>
      </c>
      <c r="E32" s="109"/>
      <c r="F32" s="109"/>
      <c r="G32" s="109"/>
      <c r="H32" s="109"/>
    </row>
    <row r="33" spans="1:11" ht="16.5" x14ac:dyDescent="0.3">
      <c r="A33" s="138" t="s">
        <v>76</v>
      </c>
      <c r="B33" s="139">
        <v>1005967</v>
      </c>
      <c r="C33" s="109"/>
      <c r="D33" s="109"/>
      <c r="E33" s="109"/>
      <c r="F33" s="109"/>
      <c r="G33" s="109"/>
      <c r="H33" s="109"/>
    </row>
    <row r="34" spans="1:11" ht="16.5" x14ac:dyDescent="0.3">
      <c r="A34" s="138" t="s">
        <v>221</v>
      </c>
      <c r="B34" s="139">
        <v>51</v>
      </c>
      <c r="C34" s="109"/>
      <c r="D34" s="109">
        <v>2365285.0499999998</v>
      </c>
      <c r="E34" s="109">
        <v>572468.53</v>
      </c>
      <c r="F34" s="109"/>
      <c r="G34" s="109"/>
      <c r="H34" s="109"/>
    </row>
    <row r="35" spans="1:11" ht="16.5" x14ac:dyDescent="0.3">
      <c r="A35" s="138" t="s">
        <v>77</v>
      </c>
      <c r="B35" s="139"/>
      <c r="C35" s="109"/>
      <c r="D35" s="109"/>
      <c r="E35" s="109">
        <v>500509</v>
      </c>
      <c r="F35" s="109">
        <v>741501</v>
      </c>
      <c r="G35" s="109"/>
      <c r="H35" s="109"/>
    </row>
    <row r="36" spans="1:11" ht="16.5" x14ac:dyDescent="0.3">
      <c r="A36" s="138" t="s">
        <v>79</v>
      </c>
      <c r="B36" s="139"/>
      <c r="C36" s="109"/>
      <c r="D36" s="109"/>
      <c r="E36" s="109">
        <v>983699</v>
      </c>
      <c r="F36" s="109"/>
      <c r="G36" s="109"/>
      <c r="H36" s="109"/>
    </row>
    <row r="37" spans="1:11" ht="14.25" customHeight="1" x14ac:dyDescent="0.2">
      <c r="A37" s="140" t="s">
        <v>112</v>
      </c>
      <c r="B37" s="78">
        <f t="shared" ref="B37:H37" si="0">SUM(B4:B36)</f>
        <v>26741904.789999999</v>
      </c>
      <c r="C37" s="78">
        <f t="shared" si="0"/>
        <v>52203712</v>
      </c>
      <c r="D37" s="78">
        <f t="shared" si="0"/>
        <v>38046341.259999998</v>
      </c>
      <c r="E37" s="78">
        <f t="shared" si="0"/>
        <v>23741722.07</v>
      </c>
      <c r="F37" s="78">
        <f t="shared" si="0"/>
        <v>20104220.400000002</v>
      </c>
      <c r="G37" s="78">
        <f t="shared" si="0"/>
        <v>22112085.41</v>
      </c>
      <c r="H37" s="78">
        <f t="shared" si="0"/>
        <v>18204477.68</v>
      </c>
    </row>
    <row r="39" spans="1:11" ht="14.25" x14ac:dyDescent="0.2">
      <c r="A39" s="142" t="s">
        <v>224</v>
      </c>
    </row>
    <row r="40" spans="1:11" ht="16.5" x14ac:dyDescent="0.3">
      <c r="A40" s="154" t="s">
        <v>222</v>
      </c>
    </row>
    <row r="41" spans="1:11" ht="16.5" x14ac:dyDescent="0.3">
      <c r="A41" s="154" t="s">
        <v>223</v>
      </c>
    </row>
    <row r="42" spans="1:11" ht="16.5" x14ac:dyDescent="0.3">
      <c r="A42" s="224" t="s">
        <v>303</v>
      </c>
      <c r="B42" s="224"/>
      <c r="C42" s="224"/>
      <c r="D42" s="224"/>
      <c r="E42" s="224"/>
      <c r="F42" s="224"/>
      <c r="G42" s="224"/>
      <c r="H42" s="224"/>
      <c r="I42" s="224"/>
      <c r="J42" s="224"/>
      <c r="K42" s="224"/>
    </row>
    <row r="45" spans="1:11" ht="14.25" x14ac:dyDescent="0.2">
      <c r="A45" s="142" t="s">
        <v>225</v>
      </c>
    </row>
    <row r="46" spans="1:11" ht="16.5" x14ac:dyDescent="0.3">
      <c r="A46" s="138" t="s">
        <v>220</v>
      </c>
      <c r="B46" s="109">
        <v>10868814</v>
      </c>
    </row>
    <row r="47" spans="1:11" ht="16.5" x14ac:dyDescent="0.3">
      <c r="A47" s="138" t="s">
        <v>62</v>
      </c>
      <c r="B47" s="109">
        <v>1877580.5</v>
      </c>
    </row>
    <row r="48" spans="1:11" ht="16.5" x14ac:dyDescent="0.3">
      <c r="A48" s="138" t="s">
        <v>72</v>
      </c>
      <c r="B48" s="109">
        <v>1815933.75</v>
      </c>
    </row>
    <row r="49" spans="1:2" ht="16.5" x14ac:dyDescent="0.3">
      <c r="A49" s="138" t="s">
        <v>75</v>
      </c>
      <c r="B49" s="109">
        <v>1783866</v>
      </c>
    </row>
    <row r="50" spans="1:2" ht="16.5" x14ac:dyDescent="0.3">
      <c r="A50" s="138" t="s">
        <v>73</v>
      </c>
      <c r="B50" s="109">
        <v>786320</v>
      </c>
    </row>
    <row r="51" spans="1:2" ht="16.5" x14ac:dyDescent="0.3">
      <c r="A51" s="138" t="s">
        <v>63</v>
      </c>
      <c r="B51" s="109">
        <v>680000</v>
      </c>
    </row>
    <row r="52" spans="1:2" ht="16.5" x14ac:dyDescent="0.3">
      <c r="A52" s="138" t="s">
        <v>78</v>
      </c>
      <c r="B52" s="109">
        <v>260540</v>
      </c>
    </row>
    <row r="55" spans="1:2" ht="16.5" x14ac:dyDescent="0.3">
      <c r="A55" s="138"/>
      <c r="B55" s="109"/>
    </row>
    <row r="56" spans="1:2" ht="16.5" x14ac:dyDescent="0.3">
      <c r="A56" s="138"/>
      <c r="B56" s="109"/>
    </row>
    <row r="57" spans="1:2" ht="16.5" x14ac:dyDescent="0.3">
      <c r="A57" s="138"/>
      <c r="B57" s="109"/>
    </row>
    <row r="58" spans="1:2" ht="16.5" x14ac:dyDescent="0.3">
      <c r="A58" s="138"/>
      <c r="B58" s="109"/>
    </row>
    <row r="59" spans="1:2" ht="16.5" x14ac:dyDescent="0.3">
      <c r="A59" s="138"/>
      <c r="B59" s="109"/>
    </row>
    <row r="60" spans="1:2" ht="16.5" x14ac:dyDescent="0.3">
      <c r="A60" s="138"/>
      <c r="B60" s="109"/>
    </row>
    <row r="61" spans="1:2" ht="16.5" x14ac:dyDescent="0.3">
      <c r="A61" s="138"/>
      <c r="B61" s="109"/>
    </row>
    <row r="62" spans="1:2" ht="16.5" x14ac:dyDescent="0.3">
      <c r="A62" s="138"/>
      <c r="B62" s="109"/>
    </row>
    <row r="63" spans="1:2" ht="16.5" x14ac:dyDescent="0.3">
      <c r="A63" s="138"/>
      <c r="B63" s="109"/>
    </row>
    <row r="64" spans="1:2" ht="16.5" x14ac:dyDescent="0.3">
      <c r="A64" s="138"/>
      <c r="B64" s="109"/>
    </row>
    <row r="65" spans="1:2" ht="16.5" x14ac:dyDescent="0.3">
      <c r="A65" s="138"/>
      <c r="B65" s="109"/>
    </row>
    <row r="66" spans="1:2" ht="16.5" x14ac:dyDescent="0.3">
      <c r="A66" s="138"/>
      <c r="B66" s="109"/>
    </row>
    <row r="67" spans="1:2" ht="16.5" x14ac:dyDescent="0.3">
      <c r="A67" s="138"/>
      <c r="B67" s="109"/>
    </row>
    <row r="68" spans="1:2" ht="16.5" x14ac:dyDescent="0.3">
      <c r="A68" s="138"/>
      <c r="B68" s="109"/>
    </row>
    <row r="69" spans="1:2" ht="16.5" x14ac:dyDescent="0.3">
      <c r="A69" s="138"/>
      <c r="B69" s="109"/>
    </row>
    <row r="70" spans="1:2" ht="16.5" x14ac:dyDescent="0.3">
      <c r="A70" s="138"/>
      <c r="B70" s="109"/>
    </row>
    <row r="71" spans="1:2" ht="16.5" x14ac:dyDescent="0.3">
      <c r="A71" s="138"/>
      <c r="B71" s="109"/>
    </row>
    <row r="72" spans="1:2" ht="16.5" x14ac:dyDescent="0.3">
      <c r="A72" s="138"/>
      <c r="B72" s="109"/>
    </row>
    <row r="73" spans="1:2" ht="16.5" x14ac:dyDescent="0.3">
      <c r="A73" s="138"/>
      <c r="B73" s="109"/>
    </row>
  </sheetData>
  <sortState ref="A4:H36">
    <sortCondition descending="1" ref="F4:F36"/>
  </sortState>
  <mergeCells count="1">
    <mergeCell ref="A42:K4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zoomScaleNormal="100" workbookViewId="0">
      <pane xSplit="1" ySplit="3" topLeftCell="X4" activePane="bottomRight" state="frozen"/>
      <selection pane="topRight" activeCell="B1" sqref="B1"/>
      <selection pane="bottomLeft" activeCell="A2" sqref="A2"/>
      <selection pane="bottomRight" activeCell="AI12" sqref="AI12:AL12"/>
    </sheetView>
  </sheetViews>
  <sheetFormatPr defaultRowHeight="12.75" x14ac:dyDescent="0.2"/>
  <cols>
    <col min="1" max="1" width="21" style="44" customWidth="1"/>
    <col min="2" max="29" width="9.28515625" style="44" bestFit="1" customWidth="1"/>
    <col min="30" max="30" width="10.28515625" style="44" bestFit="1" customWidth="1"/>
    <col min="31" max="31" width="11.5703125" style="44" customWidth="1"/>
    <col min="32" max="36" width="10.28515625" style="44" bestFit="1" customWidth="1"/>
    <col min="37" max="37" width="10.28515625" style="44" customWidth="1"/>
    <col min="38" max="16384" width="9.140625" style="44"/>
  </cols>
  <sheetData>
    <row r="1" spans="1:38" s="155" customFormat="1" ht="15" x14ac:dyDescent="0.25">
      <c r="A1" s="21" t="s">
        <v>304</v>
      </c>
    </row>
    <row r="2" spans="1:38" s="155" customFormat="1" ht="13.5" x14ac:dyDescent="0.25"/>
    <row r="3" spans="1:38" s="155" customFormat="1" ht="13.5" x14ac:dyDescent="0.25">
      <c r="B3" s="158" t="s">
        <v>88</v>
      </c>
      <c r="C3" s="158">
        <v>1981</v>
      </c>
      <c r="D3" s="158">
        <v>1982</v>
      </c>
      <c r="E3" s="158">
        <v>1983</v>
      </c>
      <c r="F3" s="158">
        <v>1984</v>
      </c>
      <c r="G3" s="158">
        <v>1985</v>
      </c>
      <c r="H3" s="158">
        <v>1986</v>
      </c>
      <c r="I3" s="158">
        <v>1987</v>
      </c>
      <c r="J3" s="158">
        <v>1988</v>
      </c>
      <c r="K3" s="158">
        <v>1989</v>
      </c>
      <c r="L3" s="158">
        <v>1990</v>
      </c>
      <c r="M3" s="158">
        <v>1991</v>
      </c>
      <c r="N3" s="158">
        <v>1992</v>
      </c>
      <c r="O3" s="158">
        <v>1993</v>
      </c>
      <c r="P3" s="158">
        <v>1994</v>
      </c>
      <c r="Q3" s="158">
        <v>1995</v>
      </c>
      <c r="R3" s="158">
        <v>1996</v>
      </c>
      <c r="S3" s="158">
        <v>1997</v>
      </c>
      <c r="T3" s="158">
        <v>1998</v>
      </c>
      <c r="U3" s="158">
        <v>1999</v>
      </c>
      <c r="V3" s="158">
        <v>2000</v>
      </c>
      <c r="W3" s="158">
        <v>2001</v>
      </c>
      <c r="X3" s="158">
        <v>2002</v>
      </c>
      <c r="Y3" s="158">
        <v>2003</v>
      </c>
      <c r="Z3" s="158">
        <v>2004</v>
      </c>
      <c r="AA3" s="158">
        <v>2005</v>
      </c>
      <c r="AB3" s="158">
        <v>2006</v>
      </c>
      <c r="AC3" s="158">
        <v>2007</v>
      </c>
      <c r="AD3" s="158">
        <v>2008</v>
      </c>
      <c r="AE3" s="158">
        <v>2009</v>
      </c>
      <c r="AF3" s="158">
        <v>2010</v>
      </c>
      <c r="AG3" s="158">
        <v>2011</v>
      </c>
      <c r="AH3" s="158">
        <v>2012</v>
      </c>
      <c r="AI3" s="158">
        <v>2013</v>
      </c>
      <c r="AJ3" s="158">
        <v>2014</v>
      </c>
      <c r="AK3" s="158">
        <v>2015</v>
      </c>
      <c r="AL3" s="158">
        <v>2016</v>
      </c>
    </row>
    <row r="4" spans="1:38" s="155" customFormat="1" ht="13.5" x14ac:dyDescent="0.25">
      <c r="A4" s="155" t="s">
        <v>87</v>
      </c>
      <c r="B4" s="156">
        <v>0</v>
      </c>
      <c r="C4" s="156">
        <v>0</v>
      </c>
      <c r="D4" s="156">
        <v>0</v>
      </c>
      <c r="E4" s="156">
        <v>0</v>
      </c>
      <c r="F4" s="156">
        <v>12</v>
      </c>
      <c r="G4" s="156">
        <v>29</v>
      </c>
      <c r="H4" s="156">
        <v>103</v>
      </c>
      <c r="I4" s="156">
        <v>114</v>
      </c>
      <c r="J4" s="156">
        <v>154</v>
      </c>
      <c r="K4" s="156">
        <v>194</v>
      </c>
      <c r="L4" s="156">
        <v>234</v>
      </c>
      <c r="M4" s="156">
        <v>274</v>
      </c>
      <c r="N4" s="156">
        <v>333</v>
      </c>
      <c r="O4" s="156">
        <v>437</v>
      </c>
      <c r="P4" s="156">
        <v>548.70000000000005</v>
      </c>
      <c r="Q4" s="156">
        <v>612.20000000000005</v>
      </c>
      <c r="R4" s="156">
        <v>612.20000000000005</v>
      </c>
      <c r="S4" s="156">
        <v>612.20000000000005</v>
      </c>
      <c r="T4" s="156">
        <v>617.6</v>
      </c>
      <c r="U4" s="156">
        <v>665.2</v>
      </c>
      <c r="V4" s="156">
        <v>730</v>
      </c>
      <c r="W4" s="156">
        <v>2119.6</v>
      </c>
      <c r="X4" s="156">
        <v>2267.4</v>
      </c>
      <c r="Y4" s="156">
        <v>2438.5</v>
      </c>
      <c r="Z4" s="156">
        <v>2629.5</v>
      </c>
      <c r="AA4" s="156">
        <v>2740.3</v>
      </c>
      <c r="AB4" s="156">
        <v>2908.5</v>
      </c>
      <c r="AC4" s="156">
        <v>3029.2</v>
      </c>
      <c r="AD4" s="156">
        <v>3304.1</v>
      </c>
      <c r="AE4" s="156">
        <v>3544.4</v>
      </c>
      <c r="AF4" s="156">
        <v>3854.5</v>
      </c>
      <c r="AG4" s="156">
        <v>3925.2</v>
      </c>
      <c r="AH4" s="156">
        <v>3963.7</v>
      </c>
      <c r="AI4" s="156">
        <v>4049.8</v>
      </c>
      <c r="AJ4" s="156">
        <v>4246</v>
      </c>
      <c r="AK4" s="156">
        <v>4313.2</v>
      </c>
      <c r="AL4" s="156">
        <v>4363.5</v>
      </c>
    </row>
    <row r="5" spans="1:38" s="155" customFormat="1" ht="13.5" x14ac:dyDescent="0.25">
      <c r="A5" s="155" t="s">
        <v>86</v>
      </c>
      <c r="B5" s="156">
        <v>0</v>
      </c>
      <c r="C5" s="156">
        <v>3</v>
      </c>
      <c r="D5" s="156">
        <v>17</v>
      </c>
      <c r="E5" s="156">
        <v>18</v>
      </c>
      <c r="F5" s="156">
        <v>26</v>
      </c>
      <c r="G5" s="156">
        <v>53</v>
      </c>
      <c r="H5" s="156">
        <v>72</v>
      </c>
      <c r="I5" s="156">
        <v>79</v>
      </c>
      <c r="J5" s="156">
        <v>89</v>
      </c>
      <c r="K5" s="156">
        <v>104</v>
      </c>
      <c r="L5" s="156">
        <v>119</v>
      </c>
      <c r="M5" s="156">
        <v>134</v>
      </c>
      <c r="N5" s="156">
        <v>137</v>
      </c>
      <c r="O5" s="156">
        <v>182</v>
      </c>
      <c r="P5" s="156">
        <v>244</v>
      </c>
      <c r="Q5" s="156">
        <v>251.1</v>
      </c>
      <c r="R5" s="156">
        <v>332.8</v>
      </c>
      <c r="S5" s="156">
        <v>440.6</v>
      </c>
      <c r="T5" s="156">
        <v>557.1</v>
      </c>
      <c r="U5" s="156">
        <v>754.9</v>
      </c>
      <c r="V5" s="156">
        <v>948</v>
      </c>
      <c r="W5" s="156">
        <v>1063.9000000000001</v>
      </c>
      <c r="X5" s="156">
        <v>1076.5</v>
      </c>
      <c r="Y5" s="156">
        <v>1155.7</v>
      </c>
      <c r="Z5" s="156">
        <v>1177.4000000000001</v>
      </c>
      <c r="AA5" s="156">
        <v>1359.5</v>
      </c>
      <c r="AB5" s="156">
        <v>1756.9</v>
      </c>
      <c r="AC5" s="156">
        <v>2039.5</v>
      </c>
      <c r="AD5" s="156">
        <v>2335</v>
      </c>
      <c r="AE5" s="156">
        <v>2477.8000000000002</v>
      </c>
      <c r="AF5" s="156">
        <v>2577.4</v>
      </c>
      <c r="AG5" s="156">
        <v>2734.1</v>
      </c>
      <c r="AH5" s="156">
        <v>2886.3</v>
      </c>
      <c r="AI5" s="156">
        <v>3021.3</v>
      </c>
      <c r="AJ5" s="156">
        <v>3144</v>
      </c>
      <c r="AK5" s="156">
        <v>3340.1</v>
      </c>
      <c r="AL5" s="156">
        <v>3407.6</v>
      </c>
    </row>
    <row r="6" spans="1:38" s="155" customFormat="1" ht="13.5" x14ac:dyDescent="0.25">
      <c r="A6" s="155" t="s">
        <v>85</v>
      </c>
      <c r="B6" s="156">
        <v>15</v>
      </c>
      <c r="C6" s="156">
        <v>21</v>
      </c>
      <c r="D6" s="156">
        <v>32.5</v>
      </c>
      <c r="E6" s="156">
        <v>46.7</v>
      </c>
      <c r="F6" s="156">
        <v>62.7</v>
      </c>
      <c r="G6" s="156">
        <v>82.6</v>
      </c>
      <c r="H6" s="156">
        <v>106.3</v>
      </c>
      <c r="I6" s="156">
        <v>136</v>
      </c>
      <c r="J6" s="156">
        <v>155</v>
      </c>
      <c r="K6" s="156">
        <v>178.6</v>
      </c>
      <c r="L6" s="156">
        <v>202</v>
      </c>
      <c r="M6" s="156">
        <v>226.3</v>
      </c>
      <c r="N6" s="156">
        <v>254.7</v>
      </c>
      <c r="O6" s="156">
        <v>285.2</v>
      </c>
      <c r="P6" s="156">
        <v>320.10000000000002</v>
      </c>
      <c r="Q6" s="156">
        <v>356.2</v>
      </c>
      <c r="R6" s="156">
        <v>391.6</v>
      </c>
      <c r="S6" s="156">
        <v>427.5</v>
      </c>
      <c r="T6" s="156">
        <v>463.9</v>
      </c>
      <c r="U6" s="156">
        <v>502.8</v>
      </c>
      <c r="V6" s="156">
        <v>540.4</v>
      </c>
      <c r="W6" s="156">
        <v>582.9</v>
      </c>
      <c r="X6" s="156">
        <v>633.79999999999995</v>
      </c>
      <c r="Y6" s="156">
        <v>686.4</v>
      </c>
      <c r="Z6" s="156">
        <v>743.6</v>
      </c>
      <c r="AA6" s="156">
        <v>801.5</v>
      </c>
      <c r="AB6" s="156">
        <v>862.2</v>
      </c>
      <c r="AC6" s="156">
        <v>922.5</v>
      </c>
      <c r="AD6" s="156">
        <v>984.7</v>
      </c>
      <c r="AE6" s="156">
        <v>1049</v>
      </c>
      <c r="AF6" s="156">
        <v>1114</v>
      </c>
      <c r="AG6" s="156">
        <v>1188.3</v>
      </c>
      <c r="AH6" s="156">
        <v>1261.3</v>
      </c>
      <c r="AI6" s="156">
        <v>1344.7</v>
      </c>
      <c r="AJ6" s="156">
        <v>1435</v>
      </c>
      <c r="AK6" s="156">
        <v>1515</v>
      </c>
      <c r="AL6" s="156">
        <v>1603.2</v>
      </c>
    </row>
    <row r="7" spans="1:38" s="155" customFormat="1" ht="13.5" x14ac:dyDescent="0.25">
      <c r="A7" s="155" t="s">
        <v>84</v>
      </c>
      <c r="B7" s="156">
        <v>2.2999999999999998</v>
      </c>
      <c r="C7" s="156">
        <v>4.5999999999999996</v>
      </c>
      <c r="D7" s="156">
        <v>9.1999999999999993</v>
      </c>
      <c r="E7" s="156">
        <v>18.3</v>
      </c>
      <c r="F7" s="156">
        <v>37.9</v>
      </c>
      <c r="G7" s="156">
        <v>53.8</v>
      </c>
      <c r="H7" s="156">
        <v>73.400000000000006</v>
      </c>
      <c r="I7" s="156">
        <v>95.6</v>
      </c>
      <c r="J7" s="156">
        <v>114.4</v>
      </c>
      <c r="K7" s="156">
        <v>137.4</v>
      </c>
      <c r="L7" s="156">
        <v>170.2</v>
      </c>
      <c r="M7" s="156">
        <v>203.2</v>
      </c>
      <c r="N7" s="156">
        <v>270.2</v>
      </c>
      <c r="O7" s="156">
        <v>319.8</v>
      </c>
      <c r="P7" s="156">
        <v>375.7</v>
      </c>
      <c r="Q7" s="156">
        <v>447.1</v>
      </c>
      <c r="R7" s="156">
        <v>515.6</v>
      </c>
      <c r="S7" s="156">
        <v>597.79999999999995</v>
      </c>
      <c r="T7" s="156">
        <v>702.7</v>
      </c>
      <c r="U7" s="156">
        <v>810.9</v>
      </c>
      <c r="V7" s="156">
        <v>919.1</v>
      </c>
      <c r="W7" s="156">
        <v>1020.2</v>
      </c>
      <c r="X7" s="156">
        <v>1157.3</v>
      </c>
      <c r="Y7" s="156">
        <v>1298</v>
      </c>
      <c r="Z7" s="156">
        <v>1435.9</v>
      </c>
      <c r="AA7" s="156">
        <v>1571.7</v>
      </c>
      <c r="AB7" s="156">
        <v>1709.3</v>
      </c>
      <c r="AC7" s="156">
        <v>1848.8</v>
      </c>
      <c r="AD7" s="156">
        <v>1998</v>
      </c>
      <c r="AE7" s="156">
        <v>2175.9</v>
      </c>
      <c r="AF7" s="156">
        <v>2375.5</v>
      </c>
      <c r="AG7" s="156">
        <v>2596.6</v>
      </c>
      <c r="AH7" s="156">
        <v>2845.5</v>
      </c>
      <c r="AI7" s="156">
        <v>3084.2</v>
      </c>
      <c r="AJ7" s="156">
        <v>3316</v>
      </c>
      <c r="AK7" s="156">
        <v>3574.5</v>
      </c>
      <c r="AL7" s="156">
        <v>3832.6</v>
      </c>
    </row>
    <row r="8" spans="1:38" s="155" customFormat="1" ht="13.5" x14ac:dyDescent="0.25">
      <c r="A8" s="155" t="s">
        <v>83</v>
      </c>
      <c r="B8" s="156">
        <v>24</v>
      </c>
      <c r="C8" s="156">
        <v>32.799999999999997</v>
      </c>
      <c r="D8" s="156">
        <v>61.1</v>
      </c>
      <c r="E8" s="156">
        <v>77</v>
      </c>
      <c r="F8" s="156">
        <v>93.6</v>
      </c>
      <c r="G8" s="156">
        <v>113.8</v>
      </c>
      <c r="H8" s="156">
        <v>135.4</v>
      </c>
      <c r="I8" s="156">
        <v>163.9</v>
      </c>
      <c r="J8" s="156">
        <v>194.9</v>
      </c>
      <c r="K8" s="156">
        <v>226.8</v>
      </c>
      <c r="L8" s="156">
        <v>261.10000000000002</v>
      </c>
      <c r="M8" s="156">
        <v>299.3</v>
      </c>
      <c r="N8" s="156">
        <v>341.2</v>
      </c>
      <c r="O8" s="156">
        <v>394.8</v>
      </c>
      <c r="P8" s="156">
        <v>456.1</v>
      </c>
      <c r="Q8" s="156">
        <v>519.70000000000005</v>
      </c>
      <c r="R8" s="156">
        <v>592.79999999999995</v>
      </c>
      <c r="S8" s="156">
        <v>669.1</v>
      </c>
      <c r="T8" s="156">
        <v>743.2</v>
      </c>
      <c r="U8" s="156">
        <v>819.3</v>
      </c>
      <c r="V8" s="156">
        <v>895.6</v>
      </c>
      <c r="W8" s="156">
        <v>973.8</v>
      </c>
      <c r="X8" s="156">
        <v>1052</v>
      </c>
      <c r="Y8" s="156">
        <v>1132.5</v>
      </c>
      <c r="Z8" s="156">
        <v>1217.9000000000001</v>
      </c>
      <c r="AA8" s="156">
        <v>1307.5999999999999</v>
      </c>
      <c r="AB8" s="156">
        <v>1395.1</v>
      </c>
      <c r="AC8" s="156">
        <v>1508</v>
      </c>
      <c r="AD8" s="156">
        <v>1620.9</v>
      </c>
      <c r="AE8" s="156">
        <v>1740.9</v>
      </c>
      <c r="AF8" s="156">
        <v>1863.9</v>
      </c>
      <c r="AG8" s="156">
        <v>1991.1</v>
      </c>
      <c r="AH8" s="156">
        <v>2122.6</v>
      </c>
      <c r="AI8" s="156">
        <v>2253.6999999999998</v>
      </c>
      <c r="AJ8" s="156">
        <v>2395</v>
      </c>
      <c r="AK8" s="156">
        <v>2557.9</v>
      </c>
      <c r="AL8" s="156">
        <v>2706.1</v>
      </c>
    </row>
    <row r="9" spans="1:38" s="155" customFormat="1" ht="13.5" x14ac:dyDescent="0.25">
      <c r="A9" s="157" t="s">
        <v>271</v>
      </c>
      <c r="B9" s="156">
        <f>SUM(B4:B8)</f>
        <v>41.3</v>
      </c>
      <c r="C9" s="156">
        <v>76.599999999999994</v>
      </c>
      <c r="D9" s="156">
        <v>168.4</v>
      </c>
      <c r="E9" s="156">
        <v>247.8</v>
      </c>
      <c r="F9" s="156">
        <v>312.39999999999998</v>
      </c>
      <c r="G9" s="156">
        <v>448.8</v>
      </c>
      <c r="H9" s="156">
        <v>602.20000000000005</v>
      </c>
      <c r="I9" s="156">
        <v>757.4</v>
      </c>
      <c r="J9" s="156">
        <v>860.5</v>
      </c>
      <c r="K9" s="156">
        <v>975.7</v>
      </c>
      <c r="L9" s="156">
        <v>1107.5999999999999</v>
      </c>
      <c r="M9" s="156">
        <v>1241.5999999999999</v>
      </c>
      <c r="N9" s="156">
        <v>1431.1</v>
      </c>
      <c r="O9" s="156">
        <v>1763.3</v>
      </c>
      <c r="P9" s="156">
        <v>2087.6999999999998</v>
      </c>
      <c r="Q9" s="156">
        <v>2337.4</v>
      </c>
      <c r="R9" s="156">
        <v>2594.1</v>
      </c>
      <c r="S9" s="156">
        <v>2805.5</v>
      </c>
      <c r="T9" s="156">
        <v>3090.7</v>
      </c>
      <c r="U9" s="156">
        <v>3512</v>
      </c>
      <c r="V9" s="156">
        <v>3992</v>
      </c>
      <c r="W9" s="156">
        <v>5719.3</v>
      </c>
      <c r="X9" s="156">
        <v>6146.1</v>
      </c>
      <c r="Y9" s="156">
        <v>6670.2</v>
      </c>
      <c r="Z9" s="156">
        <v>7163.4</v>
      </c>
      <c r="AA9" s="156">
        <v>7738.7</v>
      </c>
      <c r="AB9" s="156">
        <v>8590.4</v>
      </c>
      <c r="AC9" s="156">
        <v>9306.4</v>
      </c>
      <c r="AD9" s="156">
        <v>10182.1</v>
      </c>
      <c r="AE9" s="156">
        <v>10927.4</v>
      </c>
      <c r="AF9" s="156">
        <v>11729.7</v>
      </c>
      <c r="AG9" s="156">
        <v>12435.3</v>
      </c>
      <c r="AH9" s="156">
        <f>SUM(AH4:AH8)</f>
        <v>13079.4</v>
      </c>
      <c r="AI9" s="156">
        <f>SUM(AI4:AI8)</f>
        <v>13753.7</v>
      </c>
      <c r="AJ9" s="156">
        <f>SUM(AJ4:AJ8)</f>
        <v>14536</v>
      </c>
      <c r="AK9" s="156">
        <f>SUM(AK4:AK8)</f>
        <v>15300.699999999999</v>
      </c>
      <c r="AL9" s="156">
        <f>SUM(AL4:AL8)</f>
        <v>15913.000000000002</v>
      </c>
    </row>
    <row r="10" spans="1:38" s="155" customFormat="1" ht="13.5" x14ac:dyDescent="0.25">
      <c r="A10" s="157"/>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row>
    <row r="11" spans="1:38" s="155" customFormat="1" ht="13.5" x14ac:dyDescent="0.25">
      <c r="A11" s="157"/>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row>
    <row r="12" spans="1:38" s="155" customFormat="1" ht="13.5" x14ac:dyDescent="0.25">
      <c r="A12" s="155" t="s">
        <v>277</v>
      </c>
      <c r="B12" s="163"/>
      <c r="C12" s="162">
        <f>C7-B7</f>
        <v>2.2999999999999998</v>
      </c>
      <c r="D12" s="162">
        <f t="shared" ref="D12:AJ12" si="0">D7-C7</f>
        <v>4.5999999999999996</v>
      </c>
      <c r="E12" s="162">
        <f t="shared" si="0"/>
        <v>9.1000000000000014</v>
      </c>
      <c r="F12" s="162">
        <f t="shared" si="0"/>
        <v>19.599999999999998</v>
      </c>
      <c r="G12" s="162">
        <f t="shared" si="0"/>
        <v>15.899999999999999</v>
      </c>
      <c r="H12" s="162">
        <f t="shared" si="0"/>
        <v>19.600000000000009</v>
      </c>
      <c r="I12" s="162">
        <f t="shared" si="0"/>
        <v>22.199999999999989</v>
      </c>
      <c r="J12" s="162">
        <f t="shared" si="0"/>
        <v>18.800000000000011</v>
      </c>
      <c r="K12" s="162">
        <f t="shared" si="0"/>
        <v>23</v>
      </c>
      <c r="L12" s="162">
        <f t="shared" si="0"/>
        <v>32.799999999999983</v>
      </c>
      <c r="M12" s="162">
        <f t="shared" si="0"/>
        <v>33</v>
      </c>
      <c r="N12" s="162">
        <f t="shared" si="0"/>
        <v>67</v>
      </c>
      <c r="O12" s="162">
        <f t="shared" si="0"/>
        <v>49.600000000000023</v>
      </c>
      <c r="P12" s="162">
        <f t="shared" si="0"/>
        <v>55.899999999999977</v>
      </c>
      <c r="Q12" s="162">
        <f t="shared" si="0"/>
        <v>71.400000000000034</v>
      </c>
      <c r="R12" s="162">
        <f t="shared" si="0"/>
        <v>68.5</v>
      </c>
      <c r="S12" s="162">
        <f t="shared" si="0"/>
        <v>82.199999999999932</v>
      </c>
      <c r="T12" s="162">
        <f t="shared" si="0"/>
        <v>104.90000000000009</v>
      </c>
      <c r="U12" s="162">
        <f t="shared" si="0"/>
        <v>108.19999999999993</v>
      </c>
      <c r="V12" s="162">
        <f t="shared" si="0"/>
        <v>108.20000000000005</v>
      </c>
      <c r="W12" s="162">
        <f t="shared" si="0"/>
        <v>101.10000000000002</v>
      </c>
      <c r="X12" s="162">
        <f t="shared" si="0"/>
        <v>137.09999999999991</v>
      </c>
      <c r="Y12" s="162">
        <f t="shared" si="0"/>
        <v>140.70000000000005</v>
      </c>
      <c r="Z12" s="162">
        <f t="shared" si="0"/>
        <v>137.90000000000009</v>
      </c>
      <c r="AA12" s="162">
        <f t="shared" si="0"/>
        <v>135.79999999999995</v>
      </c>
      <c r="AB12" s="162">
        <f t="shared" si="0"/>
        <v>137.59999999999991</v>
      </c>
      <c r="AC12" s="162">
        <f t="shared" si="0"/>
        <v>139.5</v>
      </c>
      <c r="AD12" s="162">
        <f t="shared" si="0"/>
        <v>149.20000000000005</v>
      </c>
      <c r="AE12" s="162">
        <f t="shared" si="0"/>
        <v>177.90000000000009</v>
      </c>
      <c r="AF12" s="162">
        <f t="shared" si="0"/>
        <v>199.59999999999991</v>
      </c>
      <c r="AG12" s="162">
        <f t="shared" si="0"/>
        <v>221.09999999999991</v>
      </c>
      <c r="AH12" s="162">
        <f t="shared" si="0"/>
        <v>248.90000000000009</v>
      </c>
      <c r="AI12" s="162">
        <f t="shared" ref="AI12" si="1">AI7-AH7</f>
        <v>238.69999999999982</v>
      </c>
      <c r="AJ12" s="162">
        <f t="shared" ref="AJ12" si="2">AJ7-AI7</f>
        <v>231.80000000000018</v>
      </c>
      <c r="AK12" s="162">
        <f t="shared" ref="AK12" si="3">AK7-AJ7</f>
        <v>258.5</v>
      </c>
      <c r="AL12" s="162">
        <f t="shared" ref="AL12" si="4">AL7-AK7</f>
        <v>258.09999999999991</v>
      </c>
    </row>
    <row r="13" spans="1:38" s="155" customFormat="1" ht="13.5" x14ac:dyDescent="0.25">
      <c r="B13" s="157"/>
      <c r="AJ13" s="162"/>
      <c r="AK13" s="162"/>
    </row>
  </sheetData>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70" zoomScaleNormal="70" workbookViewId="0">
      <selection activeCell="I13" sqref="I13"/>
    </sheetView>
  </sheetViews>
  <sheetFormatPr defaultRowHeight="11.25" x14ac:dyDescent="0.2"/>
  <cols>
    <col min="1" max="1" width="22.140625" style="2" customWidth="1"/>
    <col min="2" max="8" width="15.42578125" style="1" customWidth="1"/>
    <col min="9" max="9" width="15.85546875" style="1" customWidth="1"/>
    <col min="10" max="10" width="11.5703125" style="1" bestFit="1" customWidth="1"/>
    <col min="11" max="16384" width="9.140625" style="1"/>
  </cols>
  <sheetData>
    <row r="1" spans="1:12" ht="33" customHeight="1" x14ac:dyDescent="0.2">
      <c r="A1" s="195" t="s">
        <v>237</v>
      </c>
      <c r="B1" s="195"/>
      <c r="C1" s="195"/>
      <c r="D1" s="195"/>
      <c r="E1" s="195"/>
      <c r="F1" s="195"/>
      <c r="G1" s="195"/>
      <c r="H1" s="195"/>
      <c r="I1" s="195"/>
    </row>
    <row r="2" spans="1:12" ht="24" customHeight="1" x14ac:dyDescent="0.2">
      <c r="A2" s="13" t="s">
        <v>11</v>
      </c>
      <c r="B2" s="45">
        <v>2010</v>
      </c>
      <c r="C2" s="45">
        <v>2011</v>
      </c>
      <c r="D2" s="45">
        <v>2012</v>
      </c>
      <c r="E2" s="45">
        <v>2013</v>
      </c>
      <c r="F2" s="45">
        <v>2014</v>
      </c>
      <c r="G2" s="45" t="s">
        <v>279</v>
      </c>
      <c r="H2" s="45">
        <v>2016</v>
      </c>
      <c r="I2" s="12"/>
      <c r="J2" s="12"/>
      <c r="K2" s="12"/>
      <c r="L2" s="11"/>
    </row>
    <row r="3" spans="1:12" ht="17.25" x14ac:dyDescent="0.3">
      <c r="A3" s="9" t="s">
        <v>10</v>
      </c>
      <c r="B3" s="46"/>
      <c r="C3" s="46"/>
      <c r="D3" s="46"/>
      <c r="E3" s="46"/>
      <c r="F3" s="46"/>
      <c r="G3" s="46"/>
      <c r="H3" s="46"/>
      <c r="I3" s="6"/>
      <c r="J3" s="6"/>
      <c r="K3" s="6"/>
    </row>
    <row r="4" spans="1:12" ht="17.25" x14ac:dyDescent="0.3">
      <c r="A4" s="10" t="s">
        <v>8</v>
      </c>
      <c r="B4" s="166">
        <v>133710043</v>
      </c>
      <c r="C4" s="166">
        <v>152268151.75</v>
      </c>
      <c r="D4" s="166">
        <v>172625716.75</v>
      </c>
      <c r="E4" s="166">
        <v>162598812.96000001</v>
      </c>
      <c r="F4" s="167">
        <v>160287940</v>
      </c>
      <c r="G4" s="166">
        <v>181979402</v>
      </c>
      <c r="H4" s="167">
        <v>187114842</v>
      </c>
      <c r="I4" s="6"/>
      <c r="J4" s="6"/>
      <c r="K4" s="6"/>
    </row>
    <row r="5" spans="1:12" ht="17.25" x14ac:dyDescent="0.3">
      <c r="A5" s="10" t="s">
        <v>7</v>
      </c>
      <c r="B5" s="166">
        <v>33492947</v>
      </c>
      <c r="C5" s="166">
        <v>38469679.740000002</v>
      </c>
      <c r="D5" s="166">
        <v>41986003.759999998</v>
      </c>
      <c r="E5" s="166">
        <v>39747604.240000002</v>
      </c>
      <c r="F5" s="167">
        <v>34671529</v>
      </c>
      <c r="G5" s="166">
        <v>36131999</v>
      </c>
      <c r="H5" s="167">
        <v>43312217</v>
      </c>
      <c r="I5" s="6"/>
      <c r="J5" s="6"/>
      <c r="K5" s="6"/>
    </row>
    <row r="6" spans="1:12" ht="17.25" x14ac:dyDescent="0.3">
      <c r="A6" s="10" t="s">
        <v>6</v>
      </c>
      <c r="B6" s="166">
        <v>12105809</v>
      </c>
      <c r="C6" s="166">
        <v>12032226</v>
      </c>
      <c r="D6" s="166">
        <v>13214569.75</v>
      </c>
      <c r="E6" s="166">
        <v>11401470.98</v>
      </c>
      <c r="F6" s="167">
        <v>11970486</v>
      </c>
      <c r="G6" s="166">
        <v>16630031</v>
      </c>
      <c r="H6" s="167">
        <v>14095153</v>
      </c>
      <c r="I6" s="6"/>
      <c r="J6" s="6"/>
      <c r="K6" s="6"/>
    </row>
    <row r="7" spans="1:12" ht="17.25" x14ac:dyDescent="0.3">
      <c r="A7" s="10" t="s">
        <v>5</v>
      </c>
      <c r="B7" s="166">
        <v>20280762.440000001</v>
      </c>
      <c r="C7" s="166">
        <v>18278218</v>
      </c>
      <c r="D7" s="166">
        <v>21130595.140000001</v>
      </c>
      <c r="E7" s="166">
        <v>25235638.289999999</v>
      </c>
      <c r="F7" s="167">
        <v>24850807</v>
      </c>
      <c r="G7" s="166">
        <v>23435779.190000001</v>
      </c>
      <c r="H7" s="167">
        <v>13619977.65</v>
      </c>
      <c r="I7" s="6"/>
      <c r="J7" s="6"/>
      <c r="K7" s="6"/>
    </row>
    <row r="8" spans="1:12" ht="17.25" x14ac:dyDescent="0.3">
      <c r="A8" s="9" t="s">
        <v>9</v>
      </c>
      <c r="B8" s="46"/>
      <c r="C8" s="46"/>
      <c r="D8" s="46"/>
      <c r="E8" s="46"/>
      <c r="F8" s="46"/>
      <c r="G8" s="46"/>
      <c r="H8" s="46"/>
      <c r="I8" s="6"/>
      <c r="J8" s="6"/>
      <c r="K8" s="6"/>
    </row>
    <row r="9" spans="1:12" ht="17.25" x14ac:dyDescent="0.3">
      <c r="A9" s="8" t="s">
        <v>8</v>
      </c>
      <c r="B9" s="166">
        <v>26914846.25</v>
      </c>
      <c r="C9" s="166">
        <v>56777878.75</v>
      </c>
      <c r="D9" s="166">
        <v>33006552</v>
      </c>
      <c r="E9" s="166">
        <v>32488550.530000001</v>
      </c>
      <c r="F9" s="167">
        <v>6079913</v>
      </c>
      <c r="G9" s="166">
        <v>10173686</v>
      </c>
      <c r="H9" s="167">
        <v>4896855</v>
      </c>
      <c r="I9" s="6"/>
      <c r="J9" s="6"/>
      <c r="K9" s="6"/>
    </row>
    <row r="10" spans="1:12" ht="17.25" x14ac:dyDescent="0.3">
      <c r="A10" s="8" t="s">
        <v>7</v>
      </c>
      <c r="B10" s="166">
        <v>3163912.24</v>
      </c>
      <c r="C10" s="166">
        <v>20472137.739999998</v>
      </c>
      <c r="D10" s="166">
        <v>11692569</v>
      </c>
      <c r="E10" s="166">
        <v>8440507.1400000006</v>
      </c>
      <c r="F10" s="167">
        <v>16958535</v>
      </c>
      <c r="G10" s="166">
        <v>2603188</v>
      </c>
      <c r="H10" s="167">
        <v>2164485</v>
      </c>
      <c r="I10" s="6"/>
      <c r="J10" s="6"/>
      <c r="K10" s="6"/>
    </row>
    <row r="11" spans="1:12" ht="17.25" x14ac:dyDescent="0.3">
      <c r="A11" s="8" t="s">
        <v>6</v>
      </c>
      <c r="B11" s="166">
        <v>9564849.2400000002</v>
      </c>
      <c r="C11" s="166">
        <v>18676436.75</v>
      </c>
      <c r="D11" s="166">
        <v>15853187</v>
      </c>
      <c r="E11" s="166">
        <v>10813833.08</v>
      </c>
      <c r="F11" s="167">
        <v>14438818</v>
      </c>
      <c r="G11" s="166">
        <v>9789350</v>
      </c>
      <c r="H11" s="167">
        <v>8973342</v>
      </c>
      <c r="J11" s="6"/>
      <c r="K11" s="6"/>
    </row>
    <row r="12" spans="1:12" ht="34.5" x14ac:dyDescent="0.3">
      <c r="A12" s="8" t="s">
        <v>234</v>
      </c>
      <c r="B12" s="47">
        <v>354783.85</v>
      </c>
      <c r="C12" s="166">
        <v>-101012.25</v>
      </c>
      <c r="D12" s="166">
        <v>42215.48</v>
      </c>
      <c r="E12" s="166">
        <v>375475.23</v>
      </c>
      <c r="F12" s="167">
        <v>-123917.97</v>
      </c>
      <c r="G12" s="167">
        <v>-1192886.3999999999</v>
      </c>
      <c r="H12" s="167">
        <v>-4698.03</v>
      </c>
      <c r="I12" s="57" t="s">
        <v>91</v>
      </c>
      <c r="J12" s="6"/>
      <c r="K12" s="6"/>
    </row>
    <row r="13" spans="1:12" ht="17.25" x14ac:dyDescent="0.3">
      <c r="A13" s="8" t="s">
        <v>4</v>
      </c>
      <c r="B13" s="47"/>
      <c r="C13" s="166">
        <v>-5658821</v>
      </c>
      <c r="D13" s="166">
        <v>-3141637</v>
      </c>
      <c r="E13" s="166"/>
      <c r="F13" s="166"/>
      <c r="G13" s="167"/>
      <c r="H13" s="166"/>
      <c r="I13" s="57">
        <f>SUM(H9:H13)</f>
        <v>16029983.970000001</v>
      </c>
      <c r="J13" s="6"/>
      <c r="K13" s="6"/>
    </row>
    <row r="14" spans="1:12" ht="15" x14ac:dyDescent="0.2">
      <c r="A14" s="5" t="s">
        <v>3</v>
      </c>
      <c r="B14" s="48">
        <f>SUM(B3:B13)</f>
        <v>239587953.02000001</v>
      </c>
      <c r="C14" s="48">
        <f t="shared" ref="C14:H14" si="0">SUM(C3:C13)</f>
        <v>311214895.48000002</v>
      </c>
      <c r="D14" s="48">
        <f t="shared" si="0"/>
        <v>306409771.88</v>
      </c>
      <c r="E14" s="48">
        <f t="shared" si="0"/>
        <v>291101892.44999999</v>
      </c>
      <c r="F14" s="48">
        <f t="shared" si="0"/>
        <v>269134110.02999997</v>
      </c>
      <c r="G14" s="48">
        <f t="shared" si="0"/>
        <v>279550548.79000002</v>
      </c>
      <c r="H14" s="48">
        <f t="shared" si="0"/>
        <v>274172173.62</v>
      </c>
      <c r="I14" s="6"/>
      <c r="J14" s="6"/>
      <c r="K14" s="6"/>
    </row>
    <row r="15" spans="1:12" ht="17.25" x14ac:dyDescent="0.3">
      <c r="A15" s="4"/>
      <c r="B15" s="3"/>
      <c r="C15" s="3"/>
      <c r="D15" s="3"/>
      <c r="E15" s="3"/>
      <c r="F15" s="3"/>
      <c r="G15" s="3"/>
    </row>
    <row r="16" spans="1:12" ht="17.25" x14ac:dyDescent="0.3">
      <c r="A16" s="55" t="s">
        <v>90</v>
      </c>
      <c r="B16" s="3"/>
      <c r="C16" s="3"/>
      <c r="D16" s="3"/>
      <c r="E16" s="3"/>
      <c r="F16" s="3"/>
      <c r="G16" s="3"/>
    </row>
    <row r="17" spans="1:12" ht="15" x14ac:dyDescent="0.2">
      <c r="A17" s="13" t="s">
        <v>11</v>
      </c>
      <c r="B17" s="45">
        <f>B2</f>
        <v>2010</v>
      </c>
      <c r="C17" s="45">
        <f t="shared" ref="C17:H17" si="1">C2</f>
        <v>2011</v>
      </c>
      <c r="D17" s="45">
        <f t="shared" si="1"/>
        <v>2012</v>
      </c>
      <c r="E17" s="45">
        <f t="shared" si="1"/>
        <v>2013</v>
      </c>
      <c r="F17" s="45">
        <f t="shared" si="1"/>
        <v>2014</v>
      </c>
      <c r="G17" s="45" t="str">
        <f t="shared" si="1"/>
        <v>2015 3</v>
      </c>
      <c r="H17" s="45">
        <f t="shared" si="1"/>
        <v>2016</v>
      </c>
    </row>
    <row r="18" spans="1:12" ht="17.25" x14ac:dyDescent="0.3">
      <c r="A18" s="8" t="s">
        <v>8</v>
      </c>
      <c r="B18" s="7">
        <f t="shared" ref="B18:H18" si="2">B4+B9</f>
        <v>160624889.25</v>
      </c>
      <c r="C18" s="7">
        <f t="shared" si="2"/>
        <v>209046030.5</v>
      </c>
      <c r="D18" s="7">
        <f t="shared" si="2"/>
        <v>205632268.75</v>
      </c>
      <c r="E18" s="7">
        <f t="shared" si="2"/>
        <v>195087363.49000001</v>
      </c>
      <c r="F18" s="7">
        <f t="shared" si="2"/>
        <v>166367853</v>
      </c>
      <c r="G18" s="7">
        <f t="shared" si="2"/>
        <v>192153088</v>
      </c>
      <c r="H18" s="7">
        <f t="shared" si="2"/>
        <v>192011697</v>
      </c>
    </row>
    <row r="19" spans="1:12" ht="17.25" x14ac:dyDescent="0.3">
      <c r="A19" s="8" t="s">
        <v>7</v>
      </c>
      <c r="B19" s="7">
        <f t="shared" ref="B19:H19" si="3">B5+B10</f>
        <v>36656859.240000002</v>
      </c>
      <c r="C19" s="7">
        <f t="shared" si="3"/>
        <v>58941817.480000004</v>
      </c>
      <c r="D19" s="7">
        <f t="shared" si="3"/>
        <v>53678572.759999998</v>
      </c>
      <c r="E19" s="7">
        <f t="shared" si="3"/>
        <v>48188111.380000003</v>
      </c>
      <c r="F19" s="7">
        <f t="shared" si="3"/>
        <v>51630064</v>
      </c>
      <c r="G19" s="7">
        <f t="shared" si="3"/>
        <v>38735187</v>
      </c>
      <c r="H19" s="7">
        <f t="shared" si="3"/>
        <v>45476702</v>
      </c>
    </row>
    <row r="20" spans="1:12" ht="17.25" x14ac:dyDescent="0.3">
      <c r="A20" s="8" t="s">
        <v>6</v>
      </c>
      <c r="B20" s="7">
        <f t="shared" ref="B20:H20" si="4">B6+B11</f>
        <v>21670658.240000002</v>
      </c>
      <c r="C20" s="7">
        <f t="shared" si="4"/>
        <v>30708662.75</v>
      </c>
      <c r="D20" s="7">
        <f t="shared" si="4"/>
        <v>29067756.75</v>
      </c>
      <c r="E20" s="7">
        <f t="shared" si="4"/>
        <v>22215304.060000002</v>
      </c>
      <c r="F20" s="7">
        <f t="shared" si="4"/>
        <v>26409304</v>
      </c>
      <c r="G20" s="7">
        <f t="shared" si="4"/>
        <v>26419381</v>
      </c>
      <c r="H20" s="7">
        <f t="shared" si="4"/>
        <v>23068495</v>
      </c>
    </row>
    <row r="21" spans="1:12" ht="19.5" x14ac:dyDescent="0.3">
      <c r="A21" s="8" t="s">
        <v>89</v>
      </c>
      <c r="B21" s="7">
        <f t="shared" ref="B21:H21" si="5">B7+B12</f>
        <v>20635546.290000003</v>
      </c>
      <c r="C21" s="7">
        <f t="shared" si="5"/>
        <v>18177205.75</v>
      </c>
      <c r="D21" s="7">
        <f t="shared" si="5"/>
        <v>21172810.620000001</v>
      </c>
      <c r="E21" s="7">
        <f t="shared" si="5"/>
        <v>25611113.52</v>
      </c>
      <c r="F21" s="7">
        <f t="shared" si="5"/>
        <v>24726889.030000001</v>
      </c>
      <c r="G21" s="7">
        <f t="shared" si="5"/>
        <v>22242892.790000003</v>
      </c>
      <c r="H21" s="7">
        <f t="shared" si="5"/>
        <v>13615279.620000001</v>
      </c>
    </row>
    <row r="22" spans="1:12" ht="17.25" x14ac:dyDescent="0.3">
      <c r="A22" s="8" t="s">
        <v>4</v>
      </c>
      <c r="B22" s="7">
        <f t="shared" ref="B22:H22" si="6">B13</f>
        <v>0</v>
      </c>
      <c r="C22" s="7">
        <f t="shared" si="6"/>
        <v>-5658821</v>
      </c>
      <c r="D22" s="7">
        <f t="shared" si="6"/>
        <v>-3141637</v>
      </c>
      <c r="E22" s="7">
        <f t="shared" si="6"/>
        <v>0</v>
      </c>
      <c r="F22" s="7">
        <f t="shared" si="6"/>
        <v>0</v>
      </c>
      <c r="G22" s="7">
        <f t="shared" si="6"/>
        <v>0</v>
      </c>
      <c r="H22" s="7">
        <f t="shared" si="6"/>
        <v>0</v>
      </c>
    </row>
    <row r="23" spans="1:12" ht="15" x14ac:dyDescent="0.2">
      <c r="A23" s="5" t="s">
        <v>3</v>
      </c>
      <c r="B23" s="48">
        <f t="shared" ref="B23:H23" si="7">B14</f>
        <v>239587953.02000001</v>
      </c>
      <c r="C23" s="48">
        <f t="shared" si="7"/>
        <v>311214895.48000002</v>
      </c>
      <c r="D23" s="48">
        <f t="shared" si="7"/>
        <v>306409771.88</v>
      </c>
      <c r="E23" s="48">
        <f t="shared" si="7"/>
        <v>291101892.44999999</v>
      </c>
      <c r="F23" s="48">
        <f t="shared" si="7"/>
        <v>269134110.02999997</v>
      </c>
      <c r="G23" s="48">
        <f t="shared" si="7"/>
        <v>279550548.79000002</v>
      </c>
      <c r="H23" s="48">
        <f t="shared" si="7"/>
        <v>274172173.62</v>
      </c>
    </row>
    <row r="24" spans="1:12" ht="17.25" x14ac:dyDescent="0.3">
      <c r="A24" s="4"/>
      <c r="B24" s="3"/>
      <c r="C24" s="3"/>
      <c r="D24" s="3"/>
      <c r="E24" s="3"/>
      <c r="F24" s="3"/>
      <c r="G24" s="3"/>
      <c r="H24" s="3"/>
    </row>
    <row r="25" spans="1:12" ht="17.25" x14ac:dyDescent="0.3">
      <c r="A25" s="49" t="s">
        <v>2</v>
      </c>
      <c r="B25" s="50"/>
      <c r="C25" s="50"/>
      <c r="D25" s="50"/>
      <c r="E25" s="50"/>
      <c r="F25" s="50"/>
      <c r="G25" s="50"/>
      <c r="H25" s="50"/>
      <c r="I25" s="51"/>
      <c r="J25" s="51"/>
    </row>
    <row r="26" spans="1:12" ht="34.5" customHeight="1" x14ac:dyDescent="0.3">
      <c r="A26" s="197" t="s">
        <v>1</v>
      </c>
      <c r="B26" s="197"/>
      <c r="C26" s="197"/>
      <c r="D26" s="197"/>
      <c r="E26" s="197"/>
      <c r="F26" s="197"/>
      <c r="G26" s="197"/>
      <c r="H26" s="197"/>
      <c r="I26" s="197"/>
      <c r="J26" s="197"/>
      <c r="K26" s="197"/>
      <c r="L26" s="197"/>
    </row>
    <row r="27" spans="1:12" ht="17.25" customHeight="1" x14ac:dyDescent="0.3">
      <c r="A27" s="197" t="s">
        <v>0</v>
      </c>
      <c r="B27" s="197"/>
      <c r="C27" s="197"/>
      <c r="D27" s="197"/>
      <c r="E27" s="197"/>
      <c r="F27" s="197"/>
      <c r="G27" s="197"/>
      <c r="H27" s="197"/>
      <c r="I27" s="197"/>
      <c r="J27" s="197"/>
      <c r="K27" s="197"/>
      <c r="L27" s="197"/>
    </row>
    <row r="28" spans="1:12" ht="22.5" customHeight="1" x14ac:dyDescent="0.3">
      <c r="A28" s="193" t="s">
        <v>281</v>
      </c>
      <c r="B28" s="193"/>
      <c r="C28" s="193"/>
      <c r="D28" s="193"/>
      <c r="E28" s="193"/>
      <c r="F28" s="193"/>
      <c r="G28" s="193"/>
      <c r="H28" s="193"/>
      <c r="I28" s="193"/>
      <c r="J28" s="193"/>
      <c r="K28" s="193"/>
      <c r="L28" s="193"/>
    </row>
    <row r="30" spans="1:12" ht="17.25" x14ac:dyDescent="0.3">
      <c r="A30" s="193"/>
      <c r="B30" s="196"/>
      <c r="C30" s="196"/>
      <c r="D30" s="196"/>
      <c r="E30" s="196"/>
      <c r="F30" s="196"/>
      <c r="G30" s="196"/>
      <c r="H30" s="196"/>
    </row>
    <row r="31" spans="1:12" ht="17.25" x14ac:dyDescent="0.3">
      <c r="A31" s="52"/>
      <c r="B31" s="53" t="str">
        <f>TEXT(H17,0)&amp;" exp+capital"</f>
        <v>2016 exp+capital</v>
      </c>
      <c r="D31" s="56" t="s">
        <v>238</v>
      </c>
    </row>
    <row r="32" spans="1:12" ht="17.25" x14ac:dyDescent="0.3">
      <c r="A32" s="52" t="s">
        <v>8</v>
      </c>
      <c r="B32" s="54">
        <f>H18</f>
        <v>192011697</v>
      </c>
    </row>
    <row r="33" spans="1:11" ht="17.25" x14ac:dyDescent="0.3">
      <c r="A33" s="52" t="s">
        <v>7</v>
      </c>
      <c r="B33" s="54">
        <f t="shared" ref="B33:B35" si="8">H19</f>
        <v>45476702</v>
      </c>
      <c r="D33" s="191" t="s">
        <v>105</v>
      </c>
      <c r="E33" s="192"/>
      <c r="F33" s="192"/>
      <c r="G33" s="192"/>
      <c r="H33" s="192"/>
      <c r="I33" s="192"/>
      <c r="J33" s="192"/>
      <c r="K33" s="192"/>
    </row>
    <row r="34" spans="1:11" ht="17.25" x14ac:dyDescent="0.3">
      <c r="A34" s="52" t="s">
        <v>6</v>
      </c>
      <c r="B34" s="54">
        <f t="shared" si="8"/>
        <v>23068495</v>
      </c>
      <c r="D34" s="193" t="str">
        <f>"Total: $" &amp; TEXT(H23,"#0.0,,") &amp; " million includes $" &amp; TEXT(I13,"#0.0,,") &amp; " million in obligations to capital projects"</f>
        <v>Total: $274.2 million includes $16.0 million in obligations to capital projects</v>
      </c>
      <c r="E34" s="194"/>
      <c r="F34" s="194"/>
      <c r="G34" s="194"/>
      <c r="H34" s="194"/>
      <c r="I34" s="194"/>
      <c r="J34" s="194"/>
      <c r="K34" s="194"/>
    </row>
    <row r="35" spans="1:11" ht="17.25" x14ac:dyDescent="0.3">
      <c r="A35" s="52" t="s">
        <v>5</v>
      </c>
      <c r="B35" s="54">
        <f t="shared" si="8"/>
        <v>13615279.620000001</v>
      </c>
    </row>
    <row r="36" spans="1:11" ht="17.25" x14ac:dyDescent="0.3">
      <c r="A36" s="52"/>
      <c r="B36" s="54"/>
    </row>
    <row r="37" spans="1:11" ht="17.25" x14ac:dyDescent="0.3">
      <c r="A37" s="52"/>
      <c r="B37" s="52"/>
    </row>
    <row r="38" spans="1:11" ht="17.25" x14ac:dyDescent="0.3">
      <c r="A38" s="52"/>
      <c r="B38" s="52"/>
    </row>
    <row r="39" spans="1:11" ht="17.25" x14ac:dyDescent="0.3">
      <c r="A39" s="52"/>
      <c r="B39" s="52"/>
    </row>
    <row r="40" spans="1:11" ht="17.25" x14ac:dyDescent="0.3">
      <c r="A40" s="52"/>
      <c r="B40" s="52"/>
    </row>
    <row r="41" spans="1:11" ht="17.25" x14ac:dyDescent="0.3">
      <c r="A41" s="1"/>
      <c r="B41" s="52"/>
    </row>
  </sheetData>
  <mergeCells count="7">
    <mergeCell ref="D33:K33"/>
    <mergeCell ref="D34:K34"/>
    <mergeCell ref="A1:I1"/>
    <mergeCell ref="A30:H30"/>
    <mergeCell ref="A26:L26"/>
    <mergeCell ref="A27:L27"/>
    <mergeCell ref="A28:L28"/>
  </mergeCells>
  <pageMargins left="0.36" right="0.35" top="0.82" bottom="0.28000000000000003" header="0.21" footer="0.16"/>
  <pageSetup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activeCell="D34" sqref="D34"/>
    </sheetView>
  </sheetViews>
  <sheetFormatPr defaultRowHeight="17.25" x14ac:dyDescent="0.3"/>
  <cols>
    <col min="1" max="1" width="16.28515625" style="15" customWidth="1"/>
    <col min="2" max="6" width="15.42578125" style="15" bestFit="1" customWidth="1"/>
    <col min="7" max="8" width="15.42578125" style="14" customWidth="1"/>
    <col min="9" max="9" width="15.5703125" style="14" customWidth="1"/>
    <col min="10" max="16384" width="9.140625" style="14"/>
  </cols>
  <sheetData>
    <row r="1" spans="1:10" ht="30.75" customHeight="1" x14ac:dyDescent="0.3">
      <c r="A1" s="21" t="s">
        <v>235</v>
      </c>
    </row>
    <row r="2" spans="1:10" ht="21.75" customHeight="1" x14ac:dyDescent="0.3">
      <c r="A2" s="58" t="s">
        <v>14</v>
      </c>
      <c r="B2" s="59">
        <v>2009</v>
      </c>
      <c r="C2" s="59">
        <v>2010</v>
      </c>
      <c r="D2" s="59">
        <v>2011</v>
      </c>
      <c r="E2" s="59">
        <v>2012</v>
      </c>
      <c r="F2" s="59">
        <v>2013</v>
      </c>
      <c r="G2" s="59" t="s">
        <v>239</v>
      </c>
      <c r="H2" s="168" t="s">
        <v>282</v>
      </c>
      <c r="I2" s="168" t="s">
        <v>283</v>
      </c>
    </row>
    <row r="3" spans="1:10" x14ac:dyDescent="0.3">
      <c r="A3" s="60" t="s">
        <v>13</v>
      </c>
      <c r="B3" s="47">
        <v>113900603</v>
      </c>
      <c r="C3" s="47">
        <v>129758323</v>
      </c>
      <c r="D3" s="47">
        <v>143477289</v>
      </c>
      <c r="E3" s="47">
        <v>162060445</v>
      </c>
      <c r="F3" s="47">
        <v>151177409</v>
      </c>
      <c r="G3" s="47">
        <v>143128947.90000001</v>
      </c>
      <c r="H3" s="47">
        <v>165362220.78999999</v>
      </c>
      <c r="I3" s="169">
        <v>159987743.56999999</v>
      </c>
    </row>
    <row r="4" spans="1:10" x14ac:dyDescent="0.3">
      <c r="A4" s="60" t="s">
        <v>12</v>
      </c>
      <c r="B4" s="47">
        <v>11668863</v>
      </c>
      <c r="C4" s="47">
        <v>21761323</v>
      </c>
      <c r="D4" s="47">
        <v>31297548</v>
      </c>
      <c r="E4" s="47">
        <v>29240867</v>
      </c>
      <c r="F4" s="47">
        <v>29683425</v>
      </c>
      <c r="G4" s="47">
        <v>5925196.1100000003</v>
      </c>
      <c r="H4" s="47">
        <v>7703153.2699999996</v>
      </c>
      <c r="I4" s="169">
        <v>1249955.1399999999</v>
      </c>
    </row>
    <row r="5" spans="1:10" s="17" customFormat="1" ht="15" x14ac:dyDescent="0.2">
      <c r="A5" s="20" t="s">
        <v>3</v>
      </c>
      <c r="B5" s="19">
        <f t="shared" ref="B5:I5" si="0">SUM(B3:B4)</f>
        <v>125569466</v>
      </c>
      <c r="C5" s="19">
        <f t="shared" si="0"/>
        <v>151519646</v>
      </c>
      <c r="D5" s="19">
        <f t="shared" si="0"/>
        <v>174774837</v>
      </c>
      <c r="E5" s="19">
        <f t="shared" si="0"/>
        <v>191301312</v>
      </c>
      <c r="F5" s="18">
        <f t="shared" si="0"/>
        <v>180860834</v>
      </c>
      <c r="G5" s="18">
        <f t="shared" si="0"/>
        <v>149054144.01000002</v>
      </c>
      <c r="H5" s="18">
        <f t="shared" si="0"/>
        <v>173065374.06</v>
      </c>
      <c r="I5" s="18">
        <f t="shared" si="0"/>
        <v>161237698.70999998</v>
      </c>
    </row>
    <row r="6" spans="1:10" s="17" customFormat="1" ht="15" x14ac:dyDescent="0.2">
      <c r="A6" s="16"/>
      <c r="B6" s="61"/>
      <c r="C6" s="61"/>
      <c r="D6" s="61"/>
      <c r="E6" s="61"/>
      <c r="F6" s="61"/>
      <c r="G6" s="61"/>
      <c r="H6" s="61"/>
      <c r="I6" s="61"/>
    </row>
    <row r="7" spans="1:10" s="17" customFormat="1" ht="15" x14ac:dyDescent="0.2">
      <c r="A7" s="16" t="s">
        <v>92</v>
      </c>
      <c r="B7" s="61"/>
      <c r="C7" s="61"/>
      <c r="D7" s="61"/>
      <c r="E7" s="61"/>
      <c r="F7" s="61"/>
      <c r="G7" s="61"/>
      <c r="H7" s="61"/>
      <c r="I7" s="61"/>
    </row>
    <row r="8" spans="1:10" x14ac:dyDescent="0.3">
      <c r="B8" s="15" t="str">
        <f>LEFT(B2,4)</f>
        <v>2009</v>
      </c>
      <c r="C8" s="15" t="str">
        <f t="shared" ref="C8:I8" si="1">LEFT(C2,4)</f>
        <v>2010</v>
      </c>
      <c r="D8" s="15" t="str">
        <f t="shared" si="1"/>
        <v>2011</v>
      </c>
      <c r="E8" s="15" t="str">
        <f t="shared" si="1"/>
        <v>2012</v>
      </c>
      <c r="F8" s="15" t="str">
        <f t="shared" si="1"/>
        <v>2013</v>
      </c>
      <c r="G8" s="15" t="str">
        <f t="shared" si="1"/>
        <v>2014</v>
      </c>
      <c r="H8" s="15" t="str">
        <f t="shared" si="1"/>
        <v>2015</v>
      </c>
      <c r="I8" s="15" t="str">
        <f t="shared" si="1"/>
        <v>2016</v>
      </c>
    </row>
    <row r="9" spans="1:10" x14ac:dyDescent="0.3">
      <c r="A9" s="16" t="s">
        <v>2</v>
      </c>
    </row>
    <row r="10" spans="1:10" ht="41.25" customHeight="1" x14ac:dyDescent="0.3">
      <c r="A10" s="198" t="s">
        <v>236</v>
      </c>
      <c r="B10" s="198"/>
      <c r="C10" s="198"/>
      <c r="D10" s="198"/>
      <c r="E10" s="198"/>
      <c r="F10" s="198"/>
      <c r="G10" s="198"/>
      <c r="H10" s="198"/>
      <c r="I10" s="198"/>
      <c r="J10" s="198"/>
    </row>
    <row r="11" spans="1:10" ht="18" customHeight="1" x14ac:dyDescent="0.3">
      <c r="A11" s="199" t="s">
        <v>284</v>
      </c>
      <c r="B11" s="199"/>
      <c r="C11" s="199"/>
      <c r="D11" s="199"/>
      <c r="E11" s="199"/>
      <c r="F11" s="199"/>
      <c r="G11" s="199"/>
      <c r="H11" s="199"/>
      <c r="I11" s="199"/>
      <c r="J11" s="199"/>
    </row>
    <row r="12" spans="1:10" x14ac:dyDescent="0.3">
      <c r="A12" s="160" t="s">
        <v>285</v>
      </c>
      <c r="B12" s="160"/>
      <c r="C12" s="160"/>
      <c r="D12" s="160"/>
      <c r="E12" s="160"/>
      <c r="F12" s="160"/>
      <c r="G12"/>
      <c r="H12"/>
      <c r="I12"/>
      <c r="J12"/>
    </row>
  </sheetData>
  <mergeCells count="2">
    <mergeCell ref="A10:J10"/>
    <mergeCell ref="A11:J11"/>
  </mergeCells>
  <pageMargins left="0.56000000000000005" right="0.5" top="1.03" bottom="1.08" header="0.16" footer="0.22"/>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A23" sqref="A23:H23"/>
    </sheetView>
  </sheetViews>
  <sheetFormatPr defaultRowHeight="16.5" x14ac:dyDescent="0.3"/>
  <cols>
    <col min="1" max="1" width="62.85546875" style="22" bestFit="1" customWidth="1"/>
    <col min="2" max="2" width="14.5703125" style="25" bestFit="1" customWidth="1"/>
    <col min="3" max="3" width="16.7109375" style="25" bestFit="1" customWidth="1"/>
    <col min="4" max="4" width="16.42578125" style="24" bestFit="1" customWidth="1"/>
    <col min="5" max="5" width="17.42578125" style="25" customWidth="1"/>
    <col min="6" max="6" width="16.7109375" style="25" bestFit="1" customWidth="1"/>
    <col min="7" max="7" width="15.42578125" style="24" bestFit="1" customWidth="1"/>
    <col min="8" max="8" width="14.5703125" style="23" bestFit="1" customWidth="1"/>
    <col min="9" max="16384" width="9.140625" style="22"/>
  </cols>
  <sheetData>
    <row r="1" spans="1:8" ht="33" customHeight="1" x14ac:dyDescent="0.3">
      <c r="A1" s="200" t="s">
        <v>286</v>
      </c>
      <c r="B1" s="200"/>
      <c r="C1" s="200"/>
      <c r="D1" s="200"/>
      <c r="E1" s="200"/>
      <c r="F1" s="200"/>
      <c r="G1" s="200"/>
      <c r="H1" s="200"/>
    </row>
    <row r="2" spans="1:8" s="28" customFormat="1" ht="58.5" x14ac:dyDescent="0.3">
      <c r="A2" s="31" t="s">
        <v>39</v>
      </c>
      <c r="B2" s="29" t="s">
        <v>38</v>
      </c>
      <c r="C2" s="29" t="s">
        <v>37</v>
      </c>
      <c r="D2" s="30" t="s">
        <v>36</v>
      </c>
      <c r="E2" s="29" t="s">
        <v>35</v>
      </c>
      <c r="F2" s="29" t="s">
        <v>34</v>
      </c>
      <c r="G2" s="30" t="s">
        <v>33</v>
      </c>
      <c r="H2" s="29" t="s">
        <v>32</v>
      </c>
    </row>
    <row r="3" spans="1:8" x14ac:dyDescent="0.3">
      <c r="A3" s="62" t="s">
        <v>31</v>
      </c>
      <c r="B3" s="63">
        <v>5771555.0274000801</v>
      </c>
      <c r="C3" s="63">
        <v>1532272.5728873201</v>
      </c>
      <c r="D3" s="64">
        <f>B3+C3</f>
        <v>7303827.6002874002</v>
      </c>
      <c r="E3" s="63">
        <v>-230787.698</v>
      </c>
      <c r="F3" s="63">
        <v>7889.7969999999996</v>
      </c>
      <c r="G3" s="64">
        <f>E3+F3</f>
        <v>-222897.90100000001</v>
      </c>
      <c r="H3" s="65">
        <f>D3+G3</f>
        <v>7080929.6992874006</v>
      </c>
    </row>
    <row r="4" spans="1:8" x14ac:dyDescent="0.3">
      <c r="A4" s="62" t="s">
        <v>30</v>
      </c>
      <c r="B4" s="63">
        <v>8792628.5960487109</v>
      </c>
      <c r="C4" s="63">
        <v>2831049.08542663</v>
      </c>
      <c r="D4" s="64">
        <f t="shared" ref="D4:D19" si="0">B4+C4</f>
        <v>11623677.681475341</v>
      </c>
      <c r="E4" s="63">
        <v>0</v>
      </c>
      <c r="F4" s="63">
        <v>0</v>
      </c>
      <c r="G4" s="64">
        <f t="shared" ref="G4:G19" si="1">E4+F4</f>
        <v>0</v>
      </c>
      <c r="H4" s="65">
        <f t="shared" ref="H4:H19" si="2">D4+G4</f>
        <v>11623677.681475341</v>
      </c>
    </row>
    <row r="5" spans="1:8" x14ac:dyDescent="0.3">
      <c r="A5" s="62" t="s">
        <v>29</v>
      </c>
      <c r="B5" s="63">
        <v>20231520.3176062</v>
      </c>
      <c r="C5" s="63">
        <v>5856319.3137293598</v>
      </c>
      <c r="D5" s="64">
        <f t="shared" si="0"/>
        <v>26087839.63133556</v>
      </c>
      <c r="E5" s="63">
        <v>-23958.175999999999</v>
      </c>
      <c r="F5" s="63">
        <v>-1923.559</v>
      </c>
      <c r="G5" s="64">
        <f t="shared" si="1"/>
        <v>-25881.735000000001</v>
      </c>
      <c r="H5" s="66">
        <f t="shared" si="2"/>
        <v>26061957.896335561</v>
      </c>
    </row>
    <row r="6" spans="1:8" x14ac:dyDescent="0.3">
      <c r="A6" s="62" t="s">
        <v>28</v>
      </c>
      <c r="B6" s="63">
        <v>10717252.0244247</v>
      </c>
      <c r="C6" s="63">
        <v>4602930.6602301598</v>
      </c>
      <c r="D6" s="64">
        <f t="shared" si="0"/>
        <v>15320182.68465486</v>
      </c>
      <c r="E6" s="63">
        <v>19935.118999999999</v>
      </c>
      <c r="F6" s="63">
        <v>819861.52300000004</v>
      </c>
      <c r="G6" s="64">
        <f t="shared" si="1"/>
        <v>839796.64199999999</v>
      </c>
      <c r="H6" s="66">
        <f t="shared" si="2"/>
        <v>16159979.326654859</v>
      </c>
    </row>
    <row r="7" spans="1:8" x14ac:dyDescent="0.3">
      <c r="A7" s="62" t="s">
        <v>27</v>
      </c>
      <c r="B7" s="63">
        <v>4338262.9777649501</v>
      </c>
      <c r="C7" s="63">
        <v>1355693.4010351</v>
      </c>
      <c r="D7" s="64">
        <f t="shared" si="0"/>
        <v>5693956.3788000504</v>
      </c>
      <c r="E7" s="63">
        <v>0</v>
      </c>
      <c r="F7" s="63">
        <v>0</v>
      </c>
      <c r="G7" s="64">
        <f t="shared" si="1"/>
        <v>0</v>
      </c>
      <c r="H7" s="66">
        <f t="shared" si="2"/>
        <v>5693956.3788000504</v>
      </c>
    </row>
    <row r="8" spans="1:8" x14ac:dyDescent="0.3">
      <c r="A8" s="62" t="s">
        <v>26</v>
      </c>
      <c r="B8" s="63">
        <v>4297893.8363243202</v>
      </c>
      <c r="C8" s="63">
        <v>480189.22532944201</v>
      </c>
      <c r="D8" s="64">
        <f t="shared" si="0"/>
        <v>4778083.0616537621</v>
      </c>
      <c r="E8" s="63">
        <v>0</v>
      </c>
      <c r="F8" s="63">
        <v>0</v>
      </c>
      <c r="G8" s="64">
        <f t="shared" si="1"/>
        <v>0</v>
      </c>
      <c r="H8" s="66">
        <f t="shared" si="2"/>
        <v>4778083.0616537621</v>
      </c>
    </row>
    <row r="9" spans="1:8" x14ac:dyDescent="0.3">
      <c r="A9" s="62" t="s">
        <v>25</v>
      </c>
      <c r="B9" s="63">
        <v>4425296.1783672702</v>
      </c>
      <c r="C9" s="63">
        <v>852806.47711313097</v>
      </c>
      <c r="D9" s="64">
        <f t="shared" si="0"/>
        <v>5278102.6554804016</v>
      </c>
      <c r="E9" s="63">
        <v>26580.875</v>
      </c>
      <c r="F9" s="63">
        <v>9666.1</v>
      </c>
      <c r="G9" s="64">
        <f t="shared" si="1"/>
        <v>36246.974999999999</v>
      </c>
      <c r="H9" s="66">
        <f t="shared" si="2"/>
        <v>5314349.6304804012</v>
      </c>
    </row>
    <row r="10" spans="1:8" x14ac:dyDescent="0.3">
      <c r="A10" s="62" t="s">
        <v>24</v>
      </c>
      <c r="B10" s="63">
        <v>6846271.8266193997</v>
      </c>
      <c r="C10" s="63">
        <v>1263396.898357</v>
      </c>
      <c r="D10" s="64">
        <f t="shared" si="0"/>
        <v>8109668.7249763999</v>
      </c>
      <c r="E10" s="63">
        <v>0</v>
      </c>
      <c r="F10" s="63">
        <v>0</v>
      </c>
      <c r="G10" s="64">
        <f t="shared" si="1"/>
        <v>0</v>
      </c>
      <c r="H10" s="66">
        <f t="shared" si="2"/>
        <v>8109668.7249763999</v>
      </c>
    </row>
    <row r="11" spans="1:8" x14ac:dyDescent="0.3">
      <c r="A11" s="62" t="s">
        <v>23</v>
      </c>
      <c r="B11" s="63">
        <v>5688755.0223003598</v>
      </c>
      <c r="C11" s="63">
        <v>1311872.0195215801</v>
      </c>
      <c r="D11" s="64">
        <f t="shared" si="0"/>
        <v>7000627.0418219399</v>
      </c>
      <c r="E11" s="63">
        <v>-5896.8829999999998</v>
      </c>
      <c r="F11" s="63">
        <v>9666.1010000000006</v>
      </c>
      <c r="G11" s="64">
        <f t="shared" si="1"/>
        <v>3769.2180000000008</v>
      </c>
      <c r="H11" s="66">
        <f t="shared" si="2"/>
        <v>7004396.2598219402</v>
      </c>
    </row>
    <row r="12" spans="1:8" x14ac:dyDescent="0.3">
      <c r="A12" s="62" t="s">
        <v>22</v>
      </c>
      <c r="B12" s="63">
        <v>28927007.064510401</v>
      </c>
      <c r="C12" s="63">
        <v>11873577.3732462</v>
      </c>
      <c r="D12" s="64">
        <f t="shared" si="0"/>
        <v>40800584.437756598</v>
      </c>
      <c r="E12" s="63">
        <v>275273.38099999999</v>
      </c>
      <c r="F12" s="63">
        <v>41902.076999999997</v>
      </c>
      <c r="G12" s="64">
        <f t="shared" si="1"/>
        <v>317175.45799999998</v>
      </c>
      <c r="H12" s="66">
        <f t="shared" si="2"/>
        <v>41117759.895756595</v>
      </c>
    </row>
    <row r="13" spans="1:8" x14ac:dyDescent="0.3">
      <c r="A13" s="62" t="s">
        <v>21</v>
      </c>
      <c r="B13" s="63">
        <v>20593564.949580699</v>
      </c>
      <c r="C13" s="63">
        <v>5406643.83643803</v>
      </c>
      <c r="D13" s="64">
        <f t="shared" si="0"/>
        <v>26000208.786018729</v>
      </c>
      <c r="E13" s="63">
        <v>-23958.145</v>
      </c>
      <c r="F13" s="63">
        <v>-1923.558</v>
      </c>
      <c r="G13" s="64">
        <f t="shared" si="1"/>
        <v>-25881.703000000001</v>
      </c>
      <c r="H13" s="66">
        <f t="shared" si="2"/>
        <v>25974327.083018728</v>
      </c>
    </row>
    <row r="14" spans="1:8" x14ac:dyDescent="0.3">
      <c r="A14" s="62" t="s">
        <v>276</v>
      </c>
      <c r="B14" s="63">
        <v>10805250.963604599</v>
      </c>
      <c r="C14" s="63">
        <v>3857181.9670115998</v>
      </c>
      <c r="D14" s="64">
        <f t="shared" si="0"/>
        <v>14662432.9306162</v>
      </c>
      <c r="E14" s="63">
        <v>67018.116999999998</v>
      </c>
      <c r="F14" s="63">
        <v>47381.972000000002</v>
      </c>
      <c r="G14" s="64">
        <f t="shared" si="1"/>
        <v>114400.08900000001</v>
      </c>
      <c r="H14" s="66">
        <f t="shared" si="2"/>
        <v>14776833.0196162</v>
      </c>
    </row>
    <row r="15" spans="1:8" x14ac:dyDescent="0.3">
      <c r="A15" s="62" t="s">
        <v>20</v>
      </c>
      <c r="B15" s="63">
        <v>3459145.9038523701</v>
      </c>
      <c r="C15" s="63">
        <v>1096124.6810401201</v>
      </c>
      <c r="D15" s="64">
        <f t="shared" si="0"/>
        <v>4555270.5848924899</v>
      </c>
      <c r="E15" s="63">
        <v>3.1E-2</v>
      </c>
      <c r="F15" s="63">
        <v>1E-3</v>
      </c>
      <c r="G15" s="64">
        <f t="shared" si="1"/>
        <v>3.2000000000000001E-2</v>
      </c>
      <c r="H15" s="66">
        <f t="shared" si="2"/>
        <v>4555270.6168924896</v>
      </c>
    </row>
    <row r="16" spans="1:8" x14ac:dyDescent="0.3">
      <c r="A16" s="62" t="s">
        <v>19</v>
      </c>
      <c r="B16" s="63">
        <v>19163</v>
      </c>
      <c r="C16" s="63">
        <v>589049</v>
      </c>
      <c r="D16" s="64">
        <f t="shared" si="0"/>
        <v>608212</v>
      </c>
      <c r="E16" s="63">
        <v>0</v>
      </c>
      <c r="F16" s="63">
        <v>0</v>
      </c>
      <c r="G16" s="64">
        <v>0</v>
      </c>
      <c r="H16" s="65">
        <f t="shared" si="2"/>
        <v>608212</v>
      </c>
    </row>
    <row r="17" spans="1:8" x14ac:dyDescent="0.3">
      <c r="A17" s="62" t="s">
        <v>18</v>
      </c>
      <c r="B17" s="63">
        <v>820044</v>
      </c>
      <c r="C17" s="63">
        <v>1050719</v>
      </c>
      <c r="D17" s="64">
        <f t="shared" si="0"/>
        <v>1870763</v>
      </c>
      <c r="E17" s="67">
        <v>0</v>
      </c>
      <c r="F17" s="67">
        <v>0</v>
      </c>
      <c r="G17" s="64">
        <v>0</v>
      </c>
      <c r="H17" s="66">
        <f t="shared" si="2"/>
        <v>1870763</v>
      </c>
    </row>
    <row r="18" spans="1:8" x14ac:dyDescent="0.3">
      <c r="A18" s="62" t="s">
        <v>17</v>
      </c>
      <c r="B18" s="63">
        <v>11792123</v>
      </c>
      <c r="C18" s="63">
        <v>2498314</v>
      </c>
      <c r="D18" s="64">
        <f t="shared" si="0"/>
        <v>14290437</v>
      </c>
      <c r="E18" s="63">
        <v>32431.819</v>
      </c>
      <c r="F18" s="63">
        <v>0.182</v>
      </c>
      <c r="G18" s="64">
        <f t="shared" si="1"/>
        <v>32432.001</v>
      </c>
      <c r="H18" s="65">
        <f t="shared" si="2"/>
        <v>14322869.001</v>
      </c>
    </row>
    <row r="19" spans="1:8" x14ac:dyDescent="0.3">
      <c r="A19" s="62" t="s">
        <v>16</v>
      </c>
      <c r="B19" s="170">
        <v>9730379</v>
      </c>
      <c r="C19" s="170">
        <v>6049477</v>
      </c>
      <c r="D19" s="170">
        <f t="shared" si="0"/>
        <v>15779856</v>
      </c>
      <c r="E19" s="170">
        <v>2091038.1459999999</v>
      </c>
      <c r="F19" s="170">
        <v>27926.168000000001</v>
      </c>
      <c r="G19" s="170">
        <f t="shared" si="1"/>
        <v>2118964.3139999998</v>
      </c>
      <c r="H19" s="171">
        <f t="shared" si="2"/>
        <v>17898820.313999999</v>
      </c>
    </row>
    <row r="20" spans="1:8" s="26" customFormat="1" ht="14.25" x14ac:dyDescent="0.2">
      <c r="A20" s="26" t="s">
        <v>3</v>
      </c>
      <c r="B20" s="27">
        <f t="shared" ref="B20:G20" si="3">SUM(B3:B19)</f>
        <v>157256113.68840405</v>
      </c>
      <c r="C20" s="27">
        <f t="shared" si="3"/>
        <v>52507616.511365674</v>
      </c>
      <c r="D20" s="27">
        <f t="shared" si="3"/>
        <v>209763730.19976974</v>
      </c>
      <c r="E20" s="27">
        <f t="shared" si="3"/>
        <v>2227676.5860000001</v>
      </c>
      <c r="F20" s="27">
        <f t="shared" si="3"/>
        <v>960446.80400000012</v>
      </c>
      <c r="G20" s="27">
        <f t="shared" si="3"/>
        <v>3188123.3899999997</v>
      </c>
      <c r="H20" s="27">
        <f t="shared" ref="H20" si="4">D20+G20</f>
        <v>212951853.58976972</v>
      </c>
    </row>
    <row r="22" spans="1:8" x14ac:dyDescent="0.3">
      <c r="A22" s="26" t="s">
        <v>2</v>
      </c>
    </row>
    <row r="23" spans="1:8" ht="16.5" customHeight="1" x14ac:dyDescent="0.3">
      <c r="A23" s="201" t="s">
        <v>240</v>
      </c>
      <c r="B23" s="201"/>
      <c r="C23" s="201"/>
      <c r="D23" s="201"/>
      <c r="E23" s="201"/>
      <c r="F23" s="201"/>
      <c r="G23" s="201"/>
      <c r="H23" s="201"/>
    </row>
    <row r="24" spans="1:8" ht="33.75" customHeight="1" x14ac:dyDescent="0.3">
      <c r="A24" s="201" t="s">
        <v>15</v>
      </c>
      <c r="B24" s="201"/>
      <c r="C24" s="201"/>
      <c r="D24" s="201"/>
      <c r="E24" s="201"/>
      <c r="F24" s="201"/>
      <c r="G24" s="201"/>
      <c r="H24" s="201"/>
    </row>
    <row r="25" spans="1:8" ht="17.25" customHeight="1" x14ac:dyDescent="0.3">
      <c r="A25" s="202" t="s">
        <v>93</v>
      </c>
      <c r="B25" s="202"/>
      <c r="C25" s="202"/>
      <c r="D25" s="202"/>
      <c r="E25" s="202"/>
      <c r="F25" s="202"/>
      <c r="G25" s="202"/>
      <c r="H25" s="202"/>
    </row>
    <row r="26" spans="1:8" x14ac:dyDescent="0.3">
      <c r="A26" s="202" t="s">
        <v>241</v>
      </c>
      <c r="B26" s="202"/>
      <c r="C26" s="202"/>
      <c r="D26" s="202"/>
      <c r="E26" s="202"/>
      <c r="F26" s="202"/>
      <c r="G26" s="202"/>
      <c r="H26" s="202"/>
    </row>
    <row r="27" spans="1:8" x14ac:dyDescent="0.3">
      <c r="A27" s="144"/>
      <c r="B27" s="144"/>
      <c r="C27" s="144"/>
      <c r="D27" s="144"/>
      <c r="E27" s="144"/>
      <c r="F27" s="144"/>
      <c r="G27" s="144"/>
      <c r="H27" s="144"/>
    </row>
    <row r="28" spans="1:8" x14ac:dyDescent="0.3">
      <c r="A28" s="22" t="s">
        <v>106</v>
      </c>
    </row>
    <row r="29" spans="1:8" ht="33.75" customHeight="1" x14ac:dyDescent="0.3">
      <c r="A29" s="190" t="str">
        <f>"Total: $" &amp; TEXT(H20,"#.0,,") &amp; " million (Expense: $" &amp; TEXT(D20,"#.0,,") &amp; " million, Capital: $" &amp; TEXT(G20,"#.0,,") &amp; " million)"</f>
        <v>Total: $213.0 million (Expense: $209.8 million, Capital: $3.2 million)</v>
      </c>
      <c r="B29" s="190"/>
      <c r="C29" s="190"/>
      <c r="D29" s="190"/>
    </row>
  </sheetData>
  <mergeCells count="6">
    <mergeCell ref="A29:D29"/>
    <mergeCell ref="A1:H1"/>
    <mergeCell ref="A24:H24"/>
    <mergeCell ref="A23:H23"/>
    <mergeCell ref="A25:H25"/>
    <mergeCell ref="A26:H26"/>
  </mergeCells>
  <pageMargins left="0.25" right="0.25" top="0.75" bottom="0.75" header="0.3" footer="0.3"/>
  <pageSetup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B32" sqref="B32"/>
    </sheetView>
  </sheetViews>
  <sheetFormatPr defaultRowHeight="17.25" x14ac:dyDescent="0.3"/>
  <cols>
    <col min="1" max="1" width="32.85546875" style="68" customWidth="1"/>
    <col min="2" max="2" width="17.140625" style="68" customWidth="1"/>
    <col min="3" max="6" width="17.140625" style="68" bestFit="1" customWidth="1"/>
    <col min="7" max="8" width="17.7109375" style="68" customWidth="1"/>
    <col min="9" max="16384" width="9.140625" style="68"/>
  </cols>
  <sheetData>
    <row r="1" spans="1:10" x14ac:dyDescent="0.3">
      <c r="A1" s="203" t="str">
        <f>"Table/Figure 5: Direct Program Expenditures by Fund, FY"&amp;H4</f>
        <v>Table/Figure 5: Direct Program Expenditures by Fund, FY2016</v>
      </c>
      <c r="B1" s="203"/>
      <c r="C1" s="203"/>
      <c r="D1" s="203"/>
      <c r="E1" s="203"/>
      <c r="F1" s="203"/>
      <c r="G1" s="203"/>
      <c r="H1" s="203"/>
    </row>
    <row r="2" spans="1:10" x14ac:dyDescent="0.3">
      <c r="A2" s="70"/>
      <c r="B2" s="69"/>
      <c r="C2" s="69"/>
      <c r="D2" s="69"/>
      <c r="E2" s="69"/>
      <c r="F2" s="69"/>
    </row>
    <row r="3" spans="1:10" x14ac:dyDescent="0.3">
      <c r="A3" s="69"/>
      <c r="B3" s="69"/>
      <c r="C3" s="69"/>
      <c r="D3" s="69"/>
      <c r="E3" s="69"/>
      <c r="F3" s="69"/>
    </row>
    <row r="4" spans="1:10" ht="19.5" x14ac:dyDescent="0.3">
      <c r="A4" s="76" t="s">
        <v>102</v>
      </c>
      <c r="B4" s="168">
        <v>2010</v>
      </c>
      <c r="C4" s="168">
        <v>2011</v>
      </c>
      <c r="D4" s="168">
        <v>2012</v>
      </c>
      <c r="E4" s="168">
        <v>2013</v>
      </c>
      <c r="F4" s="168">
        <v>2014</v>
      </c>
      <c r="G4" s="168" t="s">
        <v>287</v>
      </c>
      <c r="H4" s="168">
        <v>2016</v>
      </c>
    </row>
    <row r="5" spans="1:10" x14ac:dyDescent="0.3">
      <c r="A5" s="3" t="s">
        <v>242</v>
      </c>
      <c r="B5" s="73">
        <v>88120408</v>
      </c>
      <c r="C5" s="73">
        <v>105257648</v>
      </c>
      <c r="D5" s="73">
        <v>109818406</v>
      </c>
      <c r="E5" s="172">
        <v>102742463.01000001</v>
      </c>
      <c r="F5" s="172">
        <v>93422644</v>
      </c>
      <c r="G5" s="172">
        <v>102350719.14</v>
      </c>
      <c r="H5" s="172">
        <v>104327574.5</v>
      </c>
    </row>
    <row r="6" spans="1:10" ht="19.5" x14ac:dyDescent="0.3">
      <c r="A6" s="3" t="s">
        <v>100</v>
      </c>
      <c r="B6" s="73"/>
      <c r="C6" s="73"/>
      <c r="D6" s="73"/>
      <c r="E6" s="172"/>
      <c r="F6" s="172"/>
      <c r="G6" s="172"/>
      <c r="H6" s="172"/>
      <c r="J6" s="75"/>
    </row>
    <row r="7" spans="1:10" x14ac:dyDescent="0.3">
      <c r="A7" s="74" t="s">
        <v>99</v>
      </c>
      <c r="B7" s="73">
        <v>64187623</v>
      </c>
      <c r="C7" s="73">
        <v>79829739</v>
      </c>
      <c r="D7" s="73">
        <v>76351240</v>
      </c>
      <c r="E7" s="172">
        <v>75238564.810000002</v>
      </c>
      <c r="F7" s="172">
        <v>53057116.689999998</v>
      </c>
      <c r="G7" s="172">
        <v>78332688.890000001</v>
      </c>
      <c r="H7" s="172">
        <v>56949840.909999996</v>
      </c>
    </row>
    <row r="8" spans="1:10" x14ac:dyDescent="0.3">
      <c r="A8" s="74" t="s">
        <v>243</v>
      </c>
      <c r="B8" s="73">
        <v>20983783</v>
      </c>
      <c r="C8" s="73">
        <v>37606835</v>
      </c>
      <c r="D8" s="73">
        <v>45782424</v>
      </c>
      <c r="E8" s="172">
        <v>48583014.189999998</v>
      </c>
      <c r="F8" s="172">
        <v>50913614.200000003</v>
      </c>
      <c r="G8" s="172">
        <v>36986093.710000001</v>
      </c>
      <c r="H8" s="172">
        <v>48852497.590000004</v>
      </c>
    </row>
    <row r="9" spans="1:10" x14ac:dyDescent="0.3">
      <c r="A9" s="3" t="s">
        <v>98</v>
      </c>
      <c r="B9" s="73">
        <v>51765457</v>
      </c>
      <c r="C9" s="73">
        <v>73608793</v>
      </c>
      <c r="D9" s="73">
        <v>58956587</v>
      </c>
      <c r="E9" s="172">
        <v>48813940.990000002</v>
      </c>
      <c r="F9" s="172">
        <v>54828830</v>
      </c>
      <c r="G9" s="172">
        <v>44748863.060000002</v>
      </c>
      <c r="H9" s="172">
        <v>46978408.5</v>
      </c>
    </row>
    <row r="10" spans="1:10" x14ac:dyDescent="0.3">
      <c r="A10" s="3" t="s">
        <v>97</v>
      </c>
      <c r="B10" s="73">
        <v>14530682</v>
      </c>
      <c r="C10" s="73">
        <v>14911880</v>
      </c>
      <c r="D10" s="73">
        <v>15501115</v>
      </c>
      <c r="E10" s="172">
        <v>15723909</v>
      </c>
      <c r="F10" s="172">
        <v>16911905</v>
      </c>
      <c r="G10" s="172">
        <v>17132184</v>
      </c>
      <c r="H10" s="172">
        <v>17063852.5</v>
      </c>
    </row>
    <row r="11" spans="1:10" x14ac:dyDescent="0.3">
      <c r="A11" s="72" t="s">
        <v>96</v>
      </c>
      <c r="B11" s="71">
        <f t="shared" ref="B11:H11" si="0">SUM(B5:B10)</f>
        <v>239587953</v>
      </c>
      <c r="C11" s="71">
        <f t="shared" si="0"/>
        <v>311214895</v>
      </c>
      <c r="D11" s="71">
        <f t="shared" si="0"/>
        <v>306409772</v>
      </c>
      <c r="E11" s="71">
        <f t="shared" si="0"/>
        <v>291101892</v>
      </c>
      <c r="F11" s="71">
        <f t="shared" si="0"/>
        <v>269134109.88999999</v>
      </c>
      <c r="G11" s="71">
        <f t="shared" si="0"/>
        <v>279550548.80000001</v>
      </c>
      <c r="H11" s="71">
        <f t="shared" si="0"/>
        <v>274172174</v>
      </c>
    </row>
    <row r="12" spans="1:10" x14ac:dyDescent="0.3">
      <c r="A12" s="69"/>
      <c r="B12" s="69"/>
      <c r="C12" s="69"/>
      <c r="D12" s="69"/>
      <c r="E12" s="69"/>
      <c r="F12" s="69"/>
    </row>
    <row r="13" spans="1:10" x14ac:dyDescent="0.3">
      <c r="A13" s="69"/>
      <c r="B13" s="69"/>
      <c r="C13" s="69"/>
      <c r="D13" s="69"/>
      <c r="E13" s="69"/>
      <c r="F13" s="69"/>
    </row>
    <row r="14" spans="1:10" x14ac:dyDescent="0.3">
      <c r="A14" s="70" t="s">
        <v>2</v>
      </c>
      <c r="B14" s="69"/>
      <c r="C14" s="69"/>
      <c r="D14" s="69"/>
      <c r="E14" s="69"/>
      <c r="F14" s="69"/>
    </row>
    <row r="15" spans="1:10" x14ac:dyDescent="0.3">
      <c r="A15" s="199" t="s">
        <v>95</v>
      </c>
      <c r="B15" s="199"/>
      <c r="C15" s="199"/>
      <c r="D15" s="199"/>
      <c r="E15" s="199"/>
      <c r="F15" s="199"/>
      <c r="G15" s="199"/>
      <c r="H15" s="199"/>
      <c r="I15" s="199"/>
    </row>
    <row r="16" spans="1:10" ht="36.75" customHeight="1" x14ac:dyDescent="0.3">
      <c r="A16" s="198" t="s">
        <v>94</v>
      </c>
      <c r="B16" s="198"/>
      <c r="C16" s="198"/>
      <c r="D16" s="198"/>
      <c r="E16" s="198"/>
      <c r="F16" s="198"/>
      <c r="G16" s="198"/>
      <c r="H16" s="198"/>
      <c r="I16" s="198"/>
    </row>
    <row r="17" spans="1:9" x14ac:dyDescent="0.3">
      <c r="A17" s="204" t="s">
        <v>288</v>
      </c>
      <c r="B17" s="204"/>
      <c r="C17" s="204"/>
      <c r="D17" s="204"/>
      <c r="E17" s="204"/>
      <c r="F17" s="204"/>
      <c r="G17" s="204"/>
      <c r="H17" s="204"/>
      <c r="I17" s="204"/>
    </row>
    <row r="19" spans="1:9" x14ac:dyDescent="0.3">
      <c r="A19" s="153" t="str">
        <f>H4&amp;" (make sure these formulas catch last column)"</f>
        <v>2016 (make sure these formulas catch last column)</v>
      </c>
    </row>
    <row r="20" spans="1:9" x14ac:dyDescent="0.3">
      <c r="A20" s="3" t="s">
        <v>101</v>
      </c>
      <c r="B20" s="77">
        <f>H5</f>
        <v>104327574.5</v>
      </c>
    </row>
    <row r="21" spans="1:9" x14ac:dyDescent="0.3">
      <c r="A21" s="3" t="s">
        <v>103</v>
      </c>
      <c r="B21" s="77">
        <f>H7</f>
        <v>56949840.909999996</v>
      </c>
    </row>
    <row r="22" spans="1:9" x14ac:dyDescent="0.3">
      <c r="A22" s="3" t="s">
        <v>104</v>
      </c>
      <c r="B22" s="77">
        <f t="shared" ref="B22:B24" si="1">H8</f>
        <v>48852497.590000004</v>
      </c>
    </row>
    <row r="23" spans="1:9" x14ac:dyDescent="0.3">
      <c r="A23" s="3" t="s">
        <v>98</v>
      </c>
      <c r="B23" s="77">
        <f t="shared" si="1"/>
        <v>46978408.5</v>
      </c>
    </row>
    <row r="24" spans="1:9" x14ac:dyDescent="0.3">
      <c r="A24" s="3" t="s">
        <v>97</v>
      </c>
      <c r="B24" s="77">
        <f t="shared" si="1"/>
        <v>17063852.5</v>
      </c>
    </row>
    <row r="26" spans="1:9" x14ac:dyDescent="0.3">
      <c r="A26" s="153" t="s">
        <v>107</v>
      </c>
    </row>
    <row r="27" spans="1:9" x14ac:dyDescent="0.3">
      <c r="A27" s="68" t="str">
        <f>subtitle</f>
        <v>Total: $274.2 million includes $16.0 million in obligations to capital projects</v>
      </c>
    </row>
    <row r="47" ht="30" customHeight="1" x14ac:dyDescent="0.3"/>
  </sheetData>
  <mergeCells count="4">
    <mergeCell ref="A1:H1"/>
    <mergeCell ref="A15:I15"/>
    <mergeCell ref="A16:I16"/>
    <mergeCell ref="A17:I17"/>
  </mergeCells>
  <pageMargins left="0.34" right="0.37" top="1" bottom="1" header="0.5" footer="0.5"/>
  <pageSetup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85" zoomScaleNormal="85" workbookViewId="0">
      <selection sqref="A1:H1"/>
    </sheetView>
  </sheetViews>
  <sheetFormatPr defaultRowHeight="12.75" x14ac:dyDescent="0.2"/>
  <cols>
    <col min="1" max="1" width="41.85546875" style="1" customWidth="1"/>
    <col min="2" max="2" width="15.42578125" style="80" customWidth="1"/>
    <col min="3" max="3" width="15.42578125" style="1" bestFit="1" customWidth="1"/>
    <col min="4" max="4" width="15.42578125" style="79" bestFit="1" customWidth="1"/>
    <col min="5" max="6" width="15.42578125" style="1" bestFit="1" customWidth="1"/>
    <col min="7" max="8" width="15.42578125" style="1" customWidth="1"/>
    <col min="9" max="9" width="17.7109375" style="1" customWidth="1"/>
    <col min="10" max="10" width="11.85546875" style="1" customWidth="1"/>
    <col min="11" max="16384" width="9.140625" style="1"/>
  </cols>
  <sheetData>
    <row r="1" spans="1:10" s="82" customFormat="1" ht="30.75" customHeight="1" x14ac:dyDescent="0.2">
      <c r="A1" s="205" t="s">
        <v>309</v>
      </c>
      <c r="B1" s="205"/>
      <c r="C1" s="205"/>
      <c r="D1" s="205"/>
      <c r="E1" s="205"/>
      <c r="F1" s="205"/>
      <c r="G1" s="205"/>
      <c r="H1" s="205"/>
    </row>
    <row r="2" spans="1:10" s="91" customFormat="1" ht="19.5" x14ac:dyDescent="0.3">
      <c r="A2" s="92" t="s">
        <v>14</v>
      </c>
      <c r="B2" s="173">
        <v>2010</v>
      </c>
      <c r="C2" s="173">
        <v>2011</v>
      </c>
      <c r="D2" s="173">
        <v>2012</v>
      </c>
      <c r="E2" s="173">
        <v>2013</v>
      </c>
      <c r="F2" s="173">
        <v>2014</v>
      </c>
      <c r="G2" s="173" t="s">
        <v>289</v>
      </c>
      <c r="H2" s="173">
        <v>2016</v>
      </c>
      <c r="I2" s="95" t="s">
        <v>111</v>
      </c>
      <c r="J2" s="95" t="s">
        <v>274</v>
      </c>
    </row>
    <row r="3" spans="1:10" s="82" customFormat="1" ht="17.25" x14ac:dyDescent="0.3">
      <c r="A3" s="90" t="s">
        <v>244</v>
      </c>
      <c r="B3" s="174">
        <v>22462594.310000002</v>
      </c>
      <c r="C3" s="174">
        <v>25185796</v>
      </c>
      <c r="D3" s="174">
        <v>28135259</v>
      </c>
      <c r="E3" s="174">
        <v>30074159.880000003</v>
      </c>
      <c r="F3" s="175">
        <v>13294304.619999999</v>
      </c>
      <c r="G3" s="174">
        <v>13500244.51</v>
      </c>
      <c r="H3" s="175">
        <v>13778449.640000001</v>
      </c>
      <c r="I3" s="184">
        <f>H3</f>
        <v>13778449.640000001</v>
      </c>
      <c r="J3" s="90" t="s">
        <v>244</v>
      </c>
    </row>
    <row r="4" spans="1:10" s="82" customFormat="1" ht="17.25" x14ac:dyDescent="0.3">
      <c r="A4" s="90" t="s">
        <v>245</v>
      </c>
      <c r="B4" s="174"/>
      <c r="C4" s="174"/>
      <c r="D4" s="174"/>
      <c r="E4" s="174"/>
      <c r="F4" s="175">
        <v>14616141.960000001</v>
      </c>
      <c r="G4" s="174">
        <v>14404354.34</v>
      </c>
      <c r="H4" s="175">
        <v>15213334.890000001</v>
      </c>
      <c r="I4" s="184">
        <f>H4</f>
        <v>15213334.890000001</v>
      </c>
      <c r="J4" s="90" t="s">
        <v>275</v>
      </c>
    </row>
    <row r="5" spans="1:10" s="82" customFormat="1" ht="17.25" x14ac:dyDescent="0.3">
      <c r="A5" s="90" t="s">
        <v>44</v>
      </c>
      <c r="B5" s="84">
        <v>4199379.4000000004</v>
      </c>
      <c r="C5" s="84">
        <v>4319007</v>
      </c>
      <c r="D5" s="84">
        <v>4130748</v>
      </c>
      <c r="E5" s="84">
        <v>3980350.71</v>
      </c>
      <c r="F5" s="84">
        <v>4244806.68</v>
      </c>
      <c r="G5" s="84">
        <v>4077673.9</v>
      </c>
      <c r="H5" s="84">
        <v>4221434.1500000004</v>
      </c>
      <c r="I5" s="184">
        <f t="shared" ref="I5:I11" si="0">H5</f>
        <v>4221434.1500000004</v>
      </c>
      <c r="J5" s="90" t="s">
        <v>44</v>
      </c>
    </row>
    <row r="6" spans="1:10" s="82" customFormat="1" ht="17.25" x14ac:dyDescent="0.3">
      <c r="A6" s="90" t="s">
        <v>246</v>
      </c>
      <c r="B6" s="84">
        <v>80386908.619999975</v>
      </c>
      <c r="C6" s="84">
        <v>123373947</v>
      </c>
      <c r="D6" s="84">
        <v>122609228</v>
      </c>
      <c r="E6" s="84">
        <v>118831308.82000001</v>
      </c>
      <c r="F6" s="84">
        <v>102422790.40000001</v>
      </c>
      <c r="G6" s="84">
        <v>124435134.92</v>
      </c>
      <c r="H6" s="84">
        <v>117933009.17</v>
      </c>
      <c r="I6" s="184">
        <f t="shared" si="0"/>
        <v>117933009.17</v>
      </c>
      <c r="J6" s="90" t="s">
        <v>246</v>
      </c>
    </row>
    <row r="7" spans="1:10" s="82" customFormat="1" ht="36.75" customHeight="1" x14ac:dyDescent="0.3">
      <c r="A7" s="90" t="s">
        <v>43</v>
      </c>
      <c r="B7" s="84">
        <v>3241565.96</v>
      </c>
      <c r="C7" s="84">
        <v>3599302</v>
      </c>
      <c r="D7" s="84">
        <v>4429624</v>
      </c>
      <c r="E7" s="84">
        <v>4077995.11</v>
      </c>
      <c r="F7" s="84">
        <v>4062872.09</v>
      </c>
      <c r="G7" s="84">
        <v>4248774.49</v>
      </c>
      <c r="H7" s="84">
        <v>4206148.1500000004</v>
      </c>
      <c r="I7" s="184">
        <f t="shared" si="0"/>
        <v>4206148.1500000004</v>
      </c>
      <c r="J7" s="90" t="s">
        <v>43</v>
      </c>
    </row>
    <row r="8" spans="1:10" s="82" customFormat="1" ht="37.5" customHeight="1" x14ac:dyDescent="0.3">
      <c r="A8" s="90" t="s">
        <v>110</v>
      </c>
      <c r="B8" s="84">
        <v>45271831.170000017</v>
      </c>
      <c r="C8" s="84">
        <v>61846889</v>
      </c>
      <c r="D8" s="84">
        <v>53165835</v>
      </c>
      <c r="E8" s="84">
        <v>50024766.200000003</v>
      </c>
      <c r="F8" s="176">
        <v>45146278.850000001</v>
      </c>
      <c r="G8" s="84">
        <v>32202008.149999999</v>
      </c>
      <c r="H8" s="176">
        <v>31490426.289999999</v>
      </c>
      <c r="I8" s="184">
        <f t="shared" si="0"/>
        <v>31490426.289999999</v>
      </c>
      <c r="J8" s="90" t="s">
        <v>110</v>
      </c>
    </row>
    <row r="9" spans="1:10" s="82" customFormat="1" ht="17.25" x14ac:dyDescent="0.3">
      <c r="A9" s="90" t="s">
        <v>42</v>
      </c>
      <c r="B9" s="84">
        <v>656356.34</v>
      </c>
      <c r="C9" s="84">
        <v>805250</v>
      </c>
      <c r="D9" s="84">
        <v>853122</v>
      </c>
      <c r="E9" s="84">
        <v>750779.54</v>
      </c>
      <c r="F9" s="84">
        <v>883679.1</v>
      </c>
      <c r="G9" s="84">
        <v>865989.83</v>
      </c>
      <c r="H9" s="84">
        <v>800716.80000000005</v>
      </c>
      <c r="I9" s="184">
        <f t="shared" si="0"/>
        <v>800716.80000000005</v>
      </c>
      <c r="J9" s="90" t="s">
        <v>42</v>
      </c>
    </row>
    <row r="10" spans="1:10" s="82" customFormat="1" ht="17.25" x14ac:dyDescent="0.3">
      <c r="A10" s="90" t="s">
        <v>41</v>
      </c>
      <c r="B10" s="84">
        <v>3549111.76</v>
      </c>
      <c r="C10" s="84">
        <v>2983190</v>
      </c>
      <c r="D10" s="84">
        <v>3558732</v>
      </c>
      <c r="E10" s="84">
        <v>3309063.57</v>
      </c>
      <c r="F10" s="84">
        <v>3879435.13</v>
      </c>
      <c r="G10" s="84">
        <v>3614166.46</v>
      </c>
      <c r="H10" s="84">
        <v>4251762.13</v>
      </c>
      <c r="I10" s="184">
        <f t="shared" si="0"/>
        <v>4251762.13</v>
      </c>
      <c r="J10" s="90" t="s">
        <v>41</v>
      </c>
    </row>
    <row r="11" spans="1:10" s="82" customFormat="1" ht="17.25" x14ac:dyDescent="0.3">
      <c r="A11" s="89" t="s">
        <v>109</v>
      </c>
      <c r="B11" s="84">
        <v>79820205.509999946</v>
      </c>
      <c r="C11" s="84">
        <v>89101514</v>
      </c>
      <c r="D11" s="84">
        <v>89527224</v>
      </c>
      <c r="E11" s="84">
        <v>80053468.640000001</v>
      </c>
      <c r="F11" s="84">
        <v>80583800.829999998</v>
      </c>
      <c r="G11" s="84">
        <v>82202202.650000006</v>
      </c>
      <c r="H11" s="84">
        <v>82276892.640000001</v>
      </c>
      <c r="I11" s="184">
        <f t="shared" si="0"/>
        <v>82276892.640000001</v>
      </c>
      <c r="J11" s="89" t="s">
        <v>109</v>
      </c>
    </row>
    <row r="12" spans="1:10" s="85" customFormat="1" ht="15" x14ac:dyDescent="0.2">
      <c r="A12" s="88" t="s">
        <v>40</v>
      </c>
      <c r="B12" s="87">
        <f t="shared" ref="B12:H12" si="1">SUM(B3:B11)</f>
        <v>239587953.06999993</v>
      </c>
      <c r="C12" s="87">
        <f t="shared" si="1"/>
        <v>311214895</v>
      </c>
      <c r="D12" s="87">
        <f t="shared" si="1"/>
        <v>306409772</v>
      </c>
      <c r="E12" s="86">
        <f t="shared" si="1"/>
        <v>291101892.47000003</v>
      </c>
      <c r="F12" s="86">
        <f t="shared" si="1"/>
        <v>269134109.65999997</v>
      </c>
      <c r="G12" s="86">
        <f t="shared" si="1"/>
        <v>279550549.25000006</v>
      </c>
      <c r="H12" s="86">
        <f t="shared" si="1"/>
        <v>274172173.86000001</v>
      </c>
    </row>
    <row r="13" spans="1:10" s="82" customFormat="1" ht="17.25" x14ac:dyDescent="0.3">
      <c r="A13" s="83"/>
      <c r="B13" s="84"/>
      <c r="C13" s="83"/>
      <c r="D13" s="84"/>
      <c r="E13" s="83"/>
      <c r="F13" s="83"/>
    </row>
    <row r="14" spans="1:10" s="82" customFormat="1" ht="17.25" x14ac:dyDescent="0.3">
      <c r="A14" s="83"/>
      <c r="B14" s="84"/>
      <c r="C14" s="83"/>
      <c r="D14" s="84"/>
      <c r="E14" s="83"/>
      <c r="F14" s="83"/>
    </row>
    <row r="15" spans="1:10" ht="17.25" x14ac:dyDescent="0.3">
      <c r="A15" s="52" t="s">
        <v>2</v>
      </c>
      <c r="B15" s="54"/>
      <c r="C15" s="52"/>
      <c r="D15" s="54"/>
      <c r="E15" s="52"/>
      <c r="F15" s="52"/>
    </row>
    <row r="16" spans="1:10" ht="75" customHeight="1" x14ac:dyDescent="0.3">
      <c r="A16" s="206" t="s">
        <v>247</v>
      </c>
      <c r="B16" s="206"/>
      <c r="C16" s="206"/>
      <c r="D16" s="206"/>
      <c r="E16" s="206"/>
      <c r="F16" s="206"/>
      <c r="G16" s="206"/>
      <c r="H16" s="206"/>
      <c r="I16" s="206"/>
      <c r="J16" s="206"/>
    </row>
    <row r="17" spans="1:11" ht="35.25" customHeight="1" x14ac:dyDescent="0.3">
      <c r="A17" s="207" t="s">
        <v>108</v>
      </c>
      <c r="B17" s="207"/>
      <c r="C17" s="207"/>
      <c r="D17" s="207"/>
      <c r="E17" s="207"/>
      <c r="F17" s="207"/>
      <c r="G17" s="207"/>
      <c r="H17" s="207"/>
      <c r="I17" s="207"/>
      <c r="J17" s="207"/>
    </row>
    <row r="18" spans="1:11" ht="17.25" customHeight="1" x14ac:dyDescent="0.3">
      <c r="A18" s="207" t="s">
        <v>248</v>
      </c>
      <c r="B18" s="207"/>
      <c r="C18" s="207"/>
      <c r="D18" s="207"/>
      <c r="E18" s="207"/>
      <c r="F18" s="207"/>
      <c r="G18" s="207"/>
      <c r="H18" s="207"/>
      <c r="I18" s="207"/>
      <c r="J18" s="207"/>
    </row>
    <row r="19" spans="1:11" ht="17.25" customHeight="1" x14ac:dyDescent="0.3">
      <c r="A19" s="207" t="s">
        <v>290</v>
      </c>
      <c r="B19" s="207"/>
      <c r="C19" s="207"/>
      <c r="D19" s="207"/>
      <c r="E19" s="207"/>
      <c r="F19" s="207"/>
      <c r="G19" s="207"/>
      <c r="H19" s="207"/>
      <c r="I19" s="207"/>
      <c r="J19" s="207"/>
      <c r="K19" s="207"/>
    </row>
    <row r="20" spans="1:11" ht="17.25" x14ac:dyDescent="0.3">
      <c r="A20" s="145"/>
      <c r="B20" s="145"/>
      <c r="C20" s="145"/>
      <c r="D20" s="145"/>
      <c r="E20" s="145"/>
      <c r="F20" s="145"/>
      <c r="G20" s="145"/>
      <c r="H20" s="145"/>
      <c r="I20" s="145"/>
      <c r="J20" s="145"/>
    </row>
    <row r="21" spans="1:11" ht="17.25" x14ac:dyDescent="0.3">
      <c r="A21" s="93" t="s">
        <v>107</v>
      </c>
      <c r="B21" s="94" t="str">
        <f>subtitle</f>
        <v>Total: $274.2 million includes $16.0 million in obligations to capital projects</v>
      </c>
      <c r="C21" s="93"/>
      <c r="D21" s="93"/>
      <c r="E21" s="93"/>
      <c r="F21" s="93"/>
      <c r="G21" s="93"/>
      <c r="H21" s="93"/>
    </row>
    <row r="22" spans="1:11" x14ac:dyDescent="0.2">
      <c r="A22" s="81"/>
    </row>
  </sheetData>
  <mergeCells count="5">
    <mergeCell ref="A1:H1"/>
    <mergeCell ref="A16:J16"/>
    <mergeCell ref="A17:J17"/>
    <mergeCell ref="A18:J18"/>
    <mergeCell ref="A19:K19"/>
  </mergeCells>
  <pageMargins left="0.41" right="0.39" top="0.55000000000000004" bottom="0.27" header="0.16" footer="0.16"/>
  <pageSetup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70" zoomScaleNormal="70" workbookViewId="0">
      <selection activeCell="A15" sqref="A15"/>
    </sheetView>
  </sheetViews>
  <sheetFormatPr defaultRowHeight="12.75" x14ac:dyDescent="0.2"/>
  <cols>
    <col min="1" max="1" width="41.85546875" style="1" customWidth="1"/>
    <col min="2" max="2" width="15.42578125" style="80" customWidth="1"/>
    <col min="3" max="3" width="15.42578125" style="1" bestFit="1" customWidth="1"/>
    <col min="4" max="4" width="15.42578125" style="79" bestFit="1" customWidth="1"/>
    <col min="5" max="6" width="15.42578125" style="1" bestFit="1" customWidth="1"/>
    <col min="7" max="8" width="15.42578125" style="1" customWidth="1"/>
    <col min="9" max="9" width="17.7109375" style="1" customWidth="1"/>
    <col min="10" max="16384" width="9.140625" style="1"/>
  </cols>
  <sheetData>
    <row r="1" spans="1:10" s="82" customFormat="1" ht="30.75" customHeight="1" x14ac:dyDescent="0.2">
      <c r="A1" s="183" t="s">
        <v>310</v>
      </c>
      <c r="B1" s="183"/>
      <c r="C1" s="183"/>
      <c r="D1" s="183"/>
      <c r="E1" s="183"/>
      <c r="F1" s="183"/>
      <c r="G1" s="183"/>
      <c r="H1" s="183"/>
      <c r="I1" s="183"/>
      <c r="J1" s="183"/>
    </row>
    <row r="2" spans="1:10" s="91" customFormat="1" ht="19.5" x14ac:dyDescent="0.3">
      <c r="A2" s="92" t="s">
        <v>14</v>
      </c>
      <c r="B2" s="173">
        <v>2010</v>
      </c>
      <c r="C2" s="173">
        <v>2011</v>
      </c>
      <c r="D2" s="173">
        <v>2012</v>
      </c>
      <c r="E2" s="173">
        <v>2013</v>
      </c>
      <c r="F2" s="173">
        <v>2014</v>
      </c>
      <c r="G2" s="173" t="s">
        <v>289</v>
      </c>
      <c r="H2" s="173">
        <v>2016</v>
      </c>
      <c r="I2" s="95" t="s">
        <v>111</v>
      </c>
    </row>
    <row r="3" spans="1:10" s="82" customFormat="1" ht="17.25" x14ac:dyDescent="0.3">
      <c r="A3" s="90" t="s">
        <v>244</v>
      </c>
      <c r="B3" s="47">
        <v>640554</v>
      </c>
      <c r="C3" s="47">
        <v>684891</v>
      </c>
      <c r="D3" s="47">
        <v>664088</v>
      </c>
      <c r="E3" s="47">
        <v>785308.52</v>
      </c>
      <c r="F3" s="47">
        <v>633508.71</v>
      </c>
      <c r="G3" s="47">
        <v>618853.43999999994</v>
      </c>
      <c r="H3" s="47">
        <v>703885.61</v>
      </c>
      <c r="I3" s="184">
        <f>H3</f>
        <v>703885.61</v>
      </c>
    </row>
    <row r="4" spans="1:10" s="82" customFormat="1" ht="17.25" x14ac:dyDescent="0.3">
      <c r="A4" s="164" t="s">
        <v>43</v>
      </c>
      <c r="B4" s="47">
        <v>3241566</v>
      </c>
      <c r="C4" s="47">
        <v>3599302</v>
      </c>
      <c r="D4" s="47">
        <v>4429624</v>
      </c>
      <c r="E4" s="47">
        <v>4077995.11</v>
      </c>
      <c r="F4" s="47">
        <v>4062872.09</v>
      </c>
      <c r="G4" s="47">
        <v>4248774.49</v>
      </c>
      <c r="H4" s="47">
        <v>4206148.1500000004</v>
      </c>
      <c r="I4" s="184">
        <f>H4</f>
        <v>4206148.1500000004</v>
      </c>
    </row>
    <row r="5" spans="1:10" s="82" customFormat="1" ht="17.25" x14ac:dyDescent="0.3">
      <c r="A5" s="164" t="s">
        <v>305</v>
      </c>
      <c r="B5" s="47">
        <v>22318040</v>
      </c>
      <c r="C5" s="47">
        <v>22583163</v>
      </c>
      <c r="D5" s="47">
        <v>25176585</v>
      </c>
      <c r="E5" s="47">
        <v>23588530.18</v>
      </c>
      <c r="F5" s="47">
        <v>24046105.84</v>
      </c>
      <c r="G5" s="47">
        <v>24079654.359999999</v>
      </c>
      <c r="H5" s="47">
        <v>24391057.350000001</v>
      </c>
      <c r="I5" s="184">
        <f t="shared" ref="I5:I6" si="0">H5</f>
        <v>24391057.350000001</v>
      </c>
    </row>
    <row r="6" spans="1:10" s="82" customFormat="1" ht="17.25" x14ac:dyDescent="0.3">
      <c r="A6" s="164" t="s">
        <v>306</v>
      </c>
      <c r="B6" s="47">
        <v>45271831</v>
      </c>
      <c r="C6" s="47">
        <v>61846889</v>
      </c>
      <c r="D6" s="47">
        <v>53165835</v>
      </c>
      <c r="E6" s="47">
        <f>21326284.81+28698481.39</f>
        <v>50024766.200000003</v>
      </c>
      <c r="F6" s="47">
        <f>14595131.65+30551147.2</f>
        <v>45146278.850000001</v>
      </c>
      <c r="G6" s="47">
        <v>32202008.149999999</v>
      </c>
      <c r="H6" s="47">
        <v>31490426.289999999</v>
      </c>
      <c r="I6" s="184">
        <f t="shared" si="0"/>
        <v>31490426.289999999</v>
      </c>
    </row>
    <row r="7" spans="1:10" s="85" customFormat="1" ht="15" x14ac:dyDescent="0.2">
      <c r="A7" s="88" t="s">
        <v>40</v>
      </c>
      <c r="B7" s="87">
        <f t="shared" ref="B7:H7" si="1">SUM(B3:B6)</f>
        <v>71471991</v>
      </c>
      <c r="C7" s="87">
        <f t="shared" si="1"/>
        <v>88714245</v>
      </c>
      <c r="D7" s="87">
        <f t="shared" si="1"/>
        <v>83436132</v>
      </c>
      <c r="E7" s="86">
        <f t="shared" si="1"/>
        <v>78476600.010000005</v>
      </c>
      <c r="F7" s="86">
        <f t="shared" si="1"/>
        <v>73888765.49000001</v>
      </c>
      <c r="G7" s="86">
        <f t="shared" si="1"/>
        <v>61149290.439999998</v>
      </c>
      <c r="H7" s="86">
        <f t="shared" si="1"/>
        <v>60791517.400000006</v>
      </c>
    </row>
    <row r="8" spans="1:10" s="82" customFormat="1" ht="17.25" x14ac:dyDescent="0.3">
      <c r="A8" s="83"/>
      <c r="B8" s="84"/>
      <c r="C8" s="83"/>
      <c r="D8" s="84"/>
      <c r="E8" s="83"/>
      <c r="F8" s="83"/>
    </row>
    <row r="9" spans="1:10" ht="17.25" x14ac:dyDescent="0.3">
      <c r="A9" s="52" t="s">
        <v>2</v>
      </c>
      <c r="B9" s="54"/>
      <c r="C9" s="52"/>
      <c r="D9" s="54"/>
      <c r="E9" s="52"/>
      <c r="F9" s="52"/>
    </row>
    <row r="10" spans="1:10" ht="42" customHeight="1" x14ac:dyDescent="0.3">
      <c r="A10" s="194" t="s">
        <v>307</v>
      </c>
      <c r="B10" s="194"/>
      <c r="C10" s="194"/>
      <c r="D10" s="194"/>
      <c r="E10" s="194"/>
      <c r="F10" s="194"/>
      <c r="G10" s="194"/>
      <c r="H10" s="194"/>
      <c r="I10" s="194"/>
      <c r="J10" s="194"/>
    </row>
    <row r="11" spans="1:10" ht="21.75" customHeight="1" x14ac:dyDescent="0.3">
      <c r="A11" s="199" t="s">
        <v>308</v>
      </c>
      <c r="B11" s="199"/>
      <c r="C11" s="199"/>
      <c r="D11" s="199"/>
      <c r="E11" s="199"/>
      <c r="F11" s="199"/>
      <c r="G11" s="199"/>
      <c r="H11" s="199"/>
      <c r="I11" s="199"/>
      <c r="J11" s="199"/>
    </row>
    <row r="12" spans="1:10" ht="17.25" x14ac:dyDescent="0.3">
      <c r="A12" s="165"/>
      <c r="B12" s="165"/>
      <c r="C12" s="165"/>
      <c r="D12" s="165"/>
      <c r="E12" s="165"/>
      <c r="F12" s="165"/>
      <c r="G12" s="165"/>
      <c r="H12" s="165"/>
      <c r="I12" s="165"/>
    </row>
    <row r="13" spans="1:10" ht="17.25" x14ac:dyDescent="0.3">
      <c r="A13" s="93"/>
      <c r="B13" s="94"/>
      <c r="C13" s="93"/>
      <c r="D13" s="93"/>
      <c r="E13" s="93"/>
      <c r="F13" s="93"/>
      <c r="G13" s="93"/>
      <c r="H13" s="93"/>
    </row>
    <row r="14" spans="1:10" x14ac:dyDescent="0.2">
      <c r="A14" s="81"/>
    </row>
  </sheetData>
  <mergeCells count="2">
    <mergeCell ref="A10:J10"/>
    <mergeCell ref="A11:J11"/>
  </mergeCells>
  <pageMargins left="0.41" right="0.39" top="0.55000000000000004" bottom="0.27" header="0.16" footer="0.16"/>
  <pageSetup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opLeftCell="A13" workbookViewId="0">
      <selection activeCell="F31" sqref="F31"/>
    </sheetView>
  </sheetViews>
  <sheetFormatPr defaultRowHeight="16.5" x14ac:dyDescent="0.3"/>
  <cols>
    <col min="1" max="1" width="31.7109375" style="146" customWidth="1"/>
    <col min="2" max="2" width="16.140625" style="147" bestFit="1" customWidth="1"/>
    <col min="3" max="3" width="14.5703125" style="147" customWidth="1"/>
    <col min="4" max="4" width="12.28515625" style="147" customWidth="1"/>
    <col min="5" max="5" width="20.140625" style="147" customWidth="1"/>
    <col min="6" max="16384" width="9.140625" style="146"/>
  </cols>
  <sheetData>
    <row r="1" spans="1:5" x14ac:dyDescent="0.3">
      <c r="A1" s="208" t="s">
        <v>250</v>
      </c>
      <c r="B1" s="208"/>
      <c r="C1" s="208"/>
      <c r="D1" s="208"/>
      <c r="E1" s="208"/>
    </row>
    <row r="3" spans="1:5" x14ac:dyDescent="0.3">
      <c r="A3" s="151" t="s">
        <v>50</v>
      </c>
      <c r="B3" s="177">
        <v>24391057.350000001</v>
      </c>
      <c r="C3" s="116">
        <f>B3</f>
        <v>24391057.350000001</v>
      </c>
    </row>
    <row r="4" spans="1:5" x14ac:dyDescent="0.3">
      <c r="A4" s="150" t="s">
        <v>49</v>
      </c>
      <c r="B4" s="177">
        <v>13332982.800000001</v>
      </c>
      <c r="C4" s="116">
        <f t="shared" ref="C4:C8" si="0">B4</f>
        <v>13332982.800000001</v>
      </c>
    </row>
    <row r="5" spans="1:5" x14ac:dyDescent="0.3">
      <c r="A5" s="150" t="s">
        <v>48</v>
      </c>
      <c r="B5" s="177">
        <v>1216118.1000000001</v>
      </c>
      <c r="C5" s="116">
        <f t="shared" si="0"/>
        <v>1216118.1000000001</v>
      </c>
    </row>
    <row r="6" spans="1:5" x14ac:dyDescent="0.3">
      <c r="A6" s="150" t="s">
        <v>47</v>
      </c>
      <c r="B6" s="177">
        <v>7908829.1200000001</v>
      </c>
      <c r="C6" s="116">
        <f t="shared" si="0"/>
        <v>7908829.1200000001</v>
      </c>
    </row>
    <row r="7" spans="1:5" x14ac:dyDescent="0.3">
      <c r="A7" s="150" t="s">
        <v>46</v>
      </c>
      <c r="B7" s="177">
        <v>1264151.55</v>
      </c>
      <c r="C7" s="116">
        <f t="shared" si="0"/>
        <v>1264151.55</v>
      </c>
    </row>
    <row r="8" spans="1:5" x14ac:dyDescent="0.3">
      <c r="A8" s="150" t="s">
        <v>45</v>
      </c>
      <c r="B8" s="177">
        <v>34163753.719999999</v>
      </c>
      <c r="C8" s="116">
        <f t="shared" si="0"/>
        <v>34163753.719999999</v>
      </c>
    </row>
    <row r="9" spans="1:5" ht="17.25" thickBot="1" x14ac:dyDescent="0.35">
      <c r="B9" s="149">
        <f>SUM(B3:B8)</f>
        <v>82276892.640000001</v>
      </c>
    </row>
    <row r="11" spans="1:5" x14ac:dyDescent="0.3">
      <c r="A11" s="148" t="s">
        <v>2</v>
      </c>
    </row>
    <row r="12" spans="1:5" ht="51" customHeight="1" x14ac:dyDescent="0.3">
      <c r="A12" s="209" t="s">
        <v>249</v>
      </c>
      <c r="B12" s="209"/>
      <c r="C12" s="209"/>
      <c r="D12" s="209"/>
      <c r="E12" s="209"/>
    </row>
    <row r="14" spans="1:5" x14ac:dyDescent="0.3">
      <c r="A14" s="146" t="s">
        <v>107</v>
      </c>
      <c r="B14" s="178" t="str">
        <f>"Total: $" &amp; TEXT(B9,"#0.0,,") &amp; " million does not include obligations to capital projects"</f>
        <v>Total: $82.3 million does not include obligations to capital projects</v>
      </c>
    </row>
  </sheetData>
  <mergeCells count="2">
    <mergeCell ref="A1:E1"/>
    <mergeCell ref="A12:E12"/>
  </mergeCells>
  <pageMargins left="0.7" right="0.7" top="0.75" bottom="0.75" header="0.3" footer="0.3"/>
  <pageSetup scale="97"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topLeftCell="A16" zoomScaleNormal="100" workbookViewId="0">
      <selection activeCell="A24" sqref="A24"/>
    </sheetView>
  </sheetViews>
  <sheetFormatPr defaultRowHeight="16.5" x14ac:dyDescent="0.3"/>
  <cols>
    <col min="1" max="1" width="51.85546875" style="32" customWidth="1"/>
    <col min="2" max="2" width="14.5703125" style="33" customWidth="1"/>
    <col min="3" max="3" width="14.5703125" style="34" customWidth="1"/>
    <col min="4" max="6" width="14.5703125" style="33" customWidth="1"/>
    <col min="7" max="7" width="14.5703125" style="32" bestFit="1" customWidth="1"/>
    <col min="8" max="8" width="17.85546875" style="32" customWidth="1"/>
    <col min="9" max="16384" width="9.140625" style="32"/>
  </cols>
  <sheetData>
    <row r="1" spans="1:8" ht="30" customHeight="1" x14ac:dyDescent="0.3">
      <c r="A1" s="42" t="str">
        <f>"Table/Figure 8: Direct Program Expenditures by Province, FY" &amp; B2 &amp; "-" &amp; H2</f>
        <v>Table/Figure 8: Direct Program Expenditures by Province, FY2010-2016</v>
      </c>
      <c r="B1" s="41"/>
      <c r="G1" s="34"/>
    </row>
    <row r="2" spans="1:8" ht="18" x14ac:dyDescent="0.3">
      <c r="A2" s="40" t="s">
        <v>54</v>
      </c>
      <c r="B2" s="107">
        <v>2010</v>
      </c>
      <c r="C2" s="107">
        <v>2011</v>
      </c>
      <c r="D2" s="107">
        <v>2012</v>
      </c>
      <c r="E2" s="107">
        <v>2013</v>
      </c>
      <c r="F2" s="107">
        <v>2014</v>
      </c>
      <c r="G2" s="107" t="s">
        <v>291</v>
      </c>
      <c r="H2" s="107">
        <v>2016</v>
      </c>
    </row>
    <row r="3" spans="1:8" x14ac:dyDescent="0.3">
      <c r="A3" s="35" t="s">
        <v>251</v>
      </c>
      <c r="B3" s="109">
        <v>12243309</v>
      </c>
      <c r="C3" s="109">
        <v>13045831</v>
      </c>
      <c r="D3" s="109">
        <v>13498753.4</v>
      </c>
      <c r="E3" s="109">
        <v>13359733.73</v>
      </c>
      <c r="F3" s="109">
        <v>14630130</v>
      </c>
      <c r="G3" s="109">
        <v>16928838.199999999</v>
      </c>
      <c r="H3" s="109">
        <v>17902245.260000002</v>
      </c>
    </row>
    <row r="4" spans="1:8" x14ac:dyDescent="0.3">
      <c r="A4" s="35" t="s">
        <v>252</v>
      </c>
      <c r="B4" s="109">
        <v>26543346</v>
      </c>
      <c r="C4" s="109">
        <v>52343560</v>
      </c>
      <c r="D4" s="109">
        <v>51216105.399999999</v>
      </c>
      <c r="E4" s="109">
        <v>36245776.280000001</v>
      </c>
      <c r="F4" s="109">
        <v>26801554</v>
      </c>
      <c r="G4" s="109">
        <v>28292736.699999999</v>
      </c>
      <c r="H4" s="109">
        <v>27092251.879999999</v>
      </c>
    </row>
    <row r="5" spans="1:8" x14ac:dyDescent="0.3">
      <c r="A5" s="35" t="s">
        <v>253</v>
      </c>
      <c r="B5" s="109">
        <v>16165914</v>
      </c>
      <c r="C5" s="109">
        <v>19962308</v>
      </c>
      <c r="D5" s="109">
        <v>13560427.4</v>
      </c>
      <c r="E5" s="109">
        <v>14326142.01</v>
      </c>
      <c r="F5" s="109">
        <v>10014903</v>
      </c>
      <c r="G5" s="109">
        <v>11744583.01</v>
      </c>
      <c r="H5" s="109">
        <v>9718140.5299999993</v>
      </c>
    </row>
    <row r="6" spans="1:8" x14ac:dyDescent="0.3">
      <c r="A6" s="35" t="s">
        <v>254</v>
      </c>
      <c r="B6" s="109">
        <f>-376+50405685</f>
        <v>50405309</v>
      </c>
      <c r="C6" s="109">
        <v>59165613</v>
      </c>
      <c r="D6" s="109">
        <v>61637074.399999999</v>
      </c>
      <c r="E6" s="109">
        <v>61223676.229999997</v>
      </c>
      <c r="F6" s="109">
        <v>57654085</v>
      </c>
      <c r="G6" s="109">
        <v>67777655.400000006</v>
      </c>
      <c r="H6" s="109">
        <v>61768581.469999999</v>
      </c>
    </row>
    <row r="7" spans="1:8" x14ac:dyDescent="0.3">
      <c r="A7" s="35" t="s">
        <v>255</v>
      </c>
      <c r="B7" s="109">
        <v>6848834</v>
      </c>
      <c r="C7" s="109">
        <v>9469437</v>
      </c>
      <c r="D7" s="109">
        <v>11109892</v>
      </c>
      <c r="E7" s="109">
        <v>15336657.32</v>
      </c>
      <c r="F7" s="109">
        <v>10819987</v>
      </c>
      <c r="G7" s="109">
        <v>11165031.380000001</v>
      </c>
      <c r="H7" s="109">
        <v>11335523.130000001</v>
      </c>
    </row>
    <row r="8" spans="1:8" x14ac:dyDescent="0.3">
      <c r="A8" s="35" t="s">
        <v>256</v>
      </c>
      <c r="B8" s="109">
        <f>63881+15638403</f>
        <v>15702284</v>
      </c>
      <c r="C8" s="109">
        <v>17198718</v>
      </c>
      <c r="D8" s="109">
        <v>19784368</v>
      </c>
      <c r="E8" s="109">
        <v>16144887.76</v>
      </c>
      <c r="F8" s="109">
        <v>17769309</v>
      </c>
      <c r="G8" s="109">
        <v>17220237.800000001</v>
      </c>
      <c r="H8" s="109">
        <v>18009485.280000001</v>
      </c>
    </row>
    <row r="9" spans="1:8" x14ac:dyDescent="0.3">
      <c r="A9" s="35" t="s">
        <v>257</v>
      </c>
      <c r="B9" s="109">
        <v>15259843</v>
      </c>
      <c r="C9" s="109">
        <v>41609286</v>
      </c>
      <c r="D9" s="109">
        <v>33899854</v>
      </c>
      <c r="E9" s="109">
        <v>44562895.789999999</v>
      </c>
      <c r="F9" s="109">
        <v>13867496</v>
      </c>
      <c r="G9" s="109">
        <v>39453337.270000003</v>
      </c>
      <c r="H9" s="109">
        <v>40899829.880000003</v>
      </c>
    </row>
    <row r="10" spans="1:8" x14ac:dyDescent="0.3">
      <c r="A10" s="35" t="s">
        <v>258</v>
      </c>
      <c r="B10" s="109">
        <v>5224071</v>
      </c>
      <c r="C10" s="109">
        <v>4433754</v>
      </c>
      <c r="D10" s="109">
        <v>13235463</v>
      </c>
      <c r="E10" s="109">
        <v>3315759.24</v>
      </c>
      <c r="F10" s="109">
        <v>3817058</v>
      </c>
      <c r="G10" s="109">
        <v>4600725.0999999996</v>
      </c>
      <c r="H10" s="109">
        <v>4492669.7</v>
      </c>
    </row>
    <row r="11" spans="1:8" x14ac:dyDescent="0.3">
      <c r="A11" s="36" t="s">
        <v>259</v>
      </c>
      <c r="B11" s="109">
        <v>11427897</v>
      </c>
      <c r="C11" s="109">
        <v>24894377</v>
      </c>
      <c r="D11" s="109">
        <v>22160067</v>
      </c>
      <c r="E11" s="109">
        <v>20849802.890000001</v>
      </c>
      <c r="F11" s="109">
        <v>29293225</v>
      </c>
      <c r="G11" s="109">
        <v>19225549.199999999</v>
      </c>
      <c r="H11" s="109">
        <v>21255931.059999999</v>
      </c>
    </row>
    <row r="12" spans="1:8" x14ac:dyDescent="0.3">
      <c r="A12" s="35" t="s">
        <v>260</v>
      </c>
      <c r="B12" s="109">
        <v>22917641</v>
      </c>
      <c r="C12" s="109">
        <v>28149960</v>
      </c>
      <c r="D12" s="109">
        <v>30311321</v>
      </c>
      <c r="E12" s="109">
        <v>28453558.780000001</v>
      </c>
      <c r="F12" s="109">
        <v>28224756</v>
      </c>
      <c r="G12" s="109">
        <v>40285555.630000003</v>
      </c>
      <c r="H12" s="109">
        <v>29086789.109999999</v>
      </c>
    </row>
    <row r="13" spans="1:8" x14ac:dyDescent="0.3">
      <c r="A13" s="35" t="s">
        <v>261</v>
      </c>
      <c r="B13" s="109">
        <v>7248075</v>
      </c>
      <c r="C13" s="109">
        <v>4904675</v>
      </c>
      <c r="D13" s="109">
        <v>13213441</v>
      </c>
      <c r="E13" s="109">
        <v>10805581.939999999</v>
      </c>
      <c r="F13" s="109">
        <v>19886298</v>
      </c>
      <c r="G13" s="109">
        <v>3761184.08</v>
      </c>
      <c r="H13" s="109">
        <v>5063743.83</v>
      </c>
    </row>
    <row r="14" spans="1:8" ht="18" x14ac:dyDescent="0.3">
      <c r="A14" s="35" t="s">
        <v>262</v>
      </c>
      <c r="B14" s="109">
        <v>6826368</v>
      </c>
      <c r="C14" s="109">
        <v>7722192</v>
      </c>
      <c r="D14" s="109">
        <v>6872463</v>
      </c>
      <c r="E14" s="109">
        <v>4578007.34</v>
      </c>
      <c r="F14" s="109">
        <v>4892097</v>
      </c>
      <c r="G14" s="109">
        <v>5062472.42</v>
      </c>
      <c r="H14" s="109">
        <v>6855562.4800000004</v>
      </c>
    </row>
    <row r="15" spans="1:8" ht="18" x14ac:dyDescent="0.3">
      <c r="A15" s="35" t="s">
        <v>263</v>
      </c>
      <c r="B15" s="109">
        <v>42775062</v>
      </c>
      <c r="C15" s="109">
        <v>28315184</v>
      </c>
      <c r="D15" s="109">
        <v>15910542</v>
      </c>
      <c r="E15" s="109">
        <v>21899413.120000001</v>
      </c>
      <c r="F15" s="109">
        <v>31463212</v>
      </c>
      <c r="G15" s="109">
        <v>14032643.140000001</v>
      </c>
      <c r="H15" s="109">
        <v>20691420.34</v>
      </c>
    </row>
    <row r="16" spans="1:8" x14ac:dyDescent="0.3">
      <c r="A16" s="39" t="s">
        <v>40</v>
      </c>
      <c r="B16" s="110">
        <f t="shared" ref="B16:H16" si="0">SUM(B3:B15)</f>
        <v>239587953</v>
      </c>
      <c r="C16" s="111">
        <f t="shared" si="0"/>
        <v>311214895</v>
      </c>
      <c r="D16" s="111">
        <f t="shared" si="0"/>
        <v>306409771.60000002</v>
      </c>
      <c r="E16" s="111">
        <f t="shared" si="0"/>
        <v>291101892.43000001</v>
      </c>
      <c r="F16" s="111">
        <f t="shared" si="0"/>
        <v>269134110</v>
      </c>
      <c r="G16" s="111">
        <f t="shared" si="0"/>
        <v>279550549.32999998</v>
      </c>
      <c r="H16" s="111">
        <f t="shared" si="0"/>
        <v>274172173.94999999</v>
      </c>
    </row>
    <row r="17" spans="1:10" x14ac:dyDescent="0.3">
      <c r="A17" s="35"/>
      <c r="C17" s="33"/>
      <c r="G17" s="37"/>
    </row>
    <row r="18" spans="1:10" x14ac:dyDescent="0.3">
      <c r="A18" s="38" t="s">
        <v>2</v>
      </c>
    </row>
    <row r="19" spans="1:10" ht="16.5" customHeight="1" x14ac:dyDescent="0.3">
      <c r="A19" s="211" t="s">
        <v>53</v>
      </c>
      <c r="B19" s="211"/>
      <c r="C19" s="211"/>
      <c r="D19" s="211"/>
      <c r="E19" s="211"/>
      <c r="F19" s="211"/>
      <c r="G19" s="211"/>
      <c r="H19" s="211"/>
      <c r="I19" s="211"/>
      <c r="J19" s="211"/>
    </row>
    <row r="20" spans="1:10" ht="17.25" customHeight="1" x14ac:dyDescent="0.3">
      <c r="A20" s="212" t="s">
        <v>52</v>
      </c>
      <c r="B20" s="212"/>
      <c r="C20" s="212"/>
      <c r="D20" s="212"/>
      <c r="E20" s="212"/>
      <c r="F20" s="212"/>
      <c r="G20" s="212"/>
      <c r="H20" s="212"/>
      <c r="I20" s="212"/>
      <c r="J20" s="212"/>
    </row>
    <row r="21" spans="1:10" ht="35.25" customHeight="1" x14ac:dyDescent="0.3">
      <c r="A21" s="213" t="s">
        <v>51</v>
      </c>
      <c r="B21" s="213"/>
      <c r="C21" s="213"/>
      <c r="D21" s="213"/>
      <c r="E21" s="213"/>
      <c r="F21" s="213"/>
      <c r="G21" s="213"/>
      <c r="H21" s="213"/>
      <c r="I21" s="213"/>
      <c r="J21" s="213"/>
    </row>
    <row r="22" spans="1:10" ht="17.25" customHeight="1" x14ac:dyDescent="0.3">
      <c r="A22" s="210" t="s">
        <v>292</v>
      </c>
      <c r="B22" s="210"/>
      <c r="C22" s="210"/>
      <c r="D22" s="210"/>
      <c r="E22" s="210"/>
      <c r="F22" s="210"/>
      <c r="G22" s="210"/>
      <c r="H22" s="210"/>
      <c r="I22" s="210"/>
      <c r="J22" s="210"/>
    </row>
    <row r="23" spans="1:10" ht="26.25" customHeight="1" x14ac:dyDescent="0.3">
      <c r="A23" s="152" t="s">
        <v>107</v>
      </c>
      <c r="B23" s="108"/>
      <c r="C23" s="113"/>
      <c r="D23" s="108"/>
      <c r="E23" s="108"/>
      <c r="F23" s="108"/>
      <c r="G23" s="112"/>
      <c r="H23" s="112"/>
    </row>
    <row r="24" spans="1:10" ht="17.25" customHeight="1" x14ac:dyDescent="0.3">
      <c r="A24" s="36" t="str">
        <f>subtitle</f>
        <v>Total: $274.2 million includes $16.0 million in obligations to capital projects</v>
      </c>
      <c r="B24" s="108"/>
      <c r="C24" s="113"/>
      <c r="D24" s="108"/>
      <c r="E24" s="108"/>
      <c r="F24" s="108"/>
      <c r="G24" s="112"/>
      <c r="H24" s="112"/>
    </row>
    <row r="25" spans="1:10" x14ac:dyDescent="0.3">
      <c r="E25" s="115" t="s">
        <v>123</v>
      </c>
    </row>
    <row r="26" spans="1:10" x14ac:dyDescent="0.3">
      <c r="E26" s="114" t="str">
        <f>PROPER(A3)</f>
        <v>Blue Mountain</v>
      </c>
      <c r="F26" s="116">
        <f>H3</f>
        <v>17902245.260000002</v>
      </c>
    </row>
    <row r="27" spans="1:10" x14ac:dyDescent="0.3">
      <c r="E27" s="114" t="str">
        <f t="shared" ref="E27:E36" si="1">PROPER(A4)</f>
        <v>Columbia Cascade</v>
      </c>
      <c r="F27" s="116">
        <f t="shared" ref="F27:F37" si="2">H4</f>
        <v>27092251.879999999</v>
      </c>
    </row>
    <row r="28" spans="1:10" x14ac:dyDescent="0.3">
      <c r="B28" s="32"/>
      <c r="C28" s="32"/>
      <c r="E28" s="114" t="str">
        <f t="shared" si="1"/>
        <v>Columbia Gorge</v>
      </c>
      <c r="F28" s="116">
        <f t="shared" si="2"/>
        <v>9718140.5299999993</v>
      </c>
    </row>
    <row r="29" spans="1:10" x14ac:dyDescent="0.3">
      <c r="B29" s="32"/>
      <c r="C29" s="32"/>
      <c r="E29" s="114" t="str">
        <f t="shared" si="1"/>
        <v>Columbia Plateau</v>
      </c>
      <c r="F29" s="116">
        <f t="shared" si="2"/>
        <v>61768581.469999999</v>
      </c>
    </row>
    <row r="30" spans="1:10" x14ac:dyDescent="0.3">
      <c r="B30" s="32"/>
      <c r="C30" s="32"/>
      <c r="E30" s="114" t="str">
        <f t="shared" si="1"/>
        <v>Columbia Estuary</v>
      </c>
      <c r="F30" s="116">
        <f t="shared" si="2"/>
        <v>11335523.130000001</v>
      </c>
    </row>
    <row r="31" spans="1:10" x14ac:dyDescent="0.3">
      <c r="B31" s="32"/>
      <c r="C31" s="32"/>
      <c r="E31" s="114" t="str">
        <f t="shared" si="1"/>
        <v>Intermountain</v>
      </c>
      <c r="F31" s="116">
        <f t="shared" si="2"/>
        <v>18009485.280000001</v>
      </c>
    </row>
    <row r="32" spans="1:10" x14ac:dyDescent="0.3">
      <c r="B32" s="32"/>
      <c r="C32" s="32"/>
      <c r="E32" s="114" t="str">
        <f t="shared" si="1"/>
        <v>Lower Columbia</v>
      </c>
      <c r="F32" s="116">
        <f t="shared" si="2"/>
        <v>40899829.880000003</v>
      </c>
    </row>
    <row r="33" spans="5:6" x14ac:dyDescent="0.3">
      <c r="E33" s="114" t="str">
        <f t="shared" si="1"/>
        <v>Middle Snake</v>
      </c>
      <c r="F33" s="116">
        <f t="shared" si="2"/>
        <v>4492669.7</v>
      </c>
    </row>
    <row r="34" spans="5:6" x14ac:dyDescent="0.3">
      <c r="E34" s="114" t="str">
        <f t="shared" si="1"/>
        <v>Mountain Columbia</v>
      </c>
      <c r="F34" s="116">
        <f t="shared" si="2"/>
        <v>21255931.059999999</v>
      </c>
    </row>
    <row r="35" spans="5:6" x14ac:dyDescent="0.3">
      <c r="E35" s="114" t="str">
        <f t="shared" si="1"/>
        <v>Mountain Snake</v>
      </c>
      <c r="F35" s="116">
        <f t="shared" si="2"/>
        <v>29086789.109999999</v>
      </c>
    </row>
    <row r="36" spans="5:6" x14ac:dyDescent="0.3">
      <c r="E36" s="114" t="str">
        <f t="shared" si="1"/>
        <v>Upper Snake</v>
      </c>
      <c r="F36" s="116">
        <f t="shared" si="2"/>
        <v>5063743.83</v>
      </c>
    </row>
    <row r="37" spans="5:6" x14ac:dyDescent="0.3">
      <c r="E37" s="114" t="s">
        <v>55</v>
      </c>
      <c r="F37" s="116">
        <f t="shared" si="2"/>
        <v>6855562.4800000004</v>
      </c>
    </row>
    <row r="38" spans="5:6" x14ac:dyDescent="0.3">
      <c r="E38" s="114" t="s">
        <v>5</v>
      </c>
      <c r="F38" s="116">
        <f>H15</f>
        <v>20691420.34</v>
      </c>
    </row>
    <row r="40" spans="5:6" x14ac:dyDescent="0.3">
      <c r="E40" s="43"/>
    </row>
    <row r="41" spans="5:6" x14ac:dyDescent="0.3">
      <c r="E41" s="43"/>
    </row>
    <row r="42" spans="5:6" x14ac:dyDescent="0.3">
      <c r="E42" s="43"/>
    </row>
    <row r="43" spans="5:6" x14ac:dyDescent="0.3">
      <c r="E43" s="43"/>
    </row>
    <row r="44" spans="5:6" x14ac:dyDescent="0.3">
      <c r="E44" s="43"/>
    </row>
    <row r="45" spans="5:6" x14ac:dyDescent="0.3">
      <c r="E45" s="43"/>
    </row>
    <row r="46" spans="5:6" x14ac:dyDescent="0.3">
      <c r="E46" s="43"/>
    </row>
    <row r="60" spans="1:6" x14ac:dyDescent="0.3">
      <c r="E60" s="32"/>
      <c r="F60" s="32"/>
    </row>
    <row r="61" spans="1:6" x14ac:dyDescent="0.3">
      <c r="A61" s="35"/>
      <c r="B61" s="32"/>
      <c r="C61" s="32"/>
      <c r="D61" s="32"/>
      <c r="E61" s="32"/>
      <c r="F61" s="32"/>
    </row>
    <row r="62" spans="1:6" x14ac:dyDescent="0.3">
      <c r="A62" s="35"/>
      <c r="B62" s="32"/>
      <c r="C62" s="32"/>
      <c r="D62" s="32"/>
      <c r="E62" s="32"/>
      <c r="F62" s="32"/>
    </row>
    <row r="63" spans="1:6" x14ac:dyDescent="0.3">
      <c r="A63" s="35"/>
      <c r="B63" s="32"/>
      <c r="C63" s="32"/>
      <c r="D63" s="32"/>
      <c r="E63" s="32"/>
      <c r="F63" s="32"/>
    </row>
    <row r="64" spans="1:6" x14ac:dyDescent="0.3">
      <c r="A64" s="36"/>
      <c r="B64" s="32"/>
      <c r="C64" s="32"/>
      <c r="D64" s="32"/>
      <c r="E64" s="32"/>
      <c r="F64" s="32"/>
    </row>
    <row r="65" spans="1:6" x14ac:dyDescent="0.3">
      <c r="A65" s="35"/>
      <c r="B65" s="32"/>
      <c r="C65" s="32"/>
      <c r="D65" s="32"/>
      <c r="E65" s="32"/>
      <c r="F65" s="32"/>
    </row>
    <row r="66" spans="1:6" x14ac:dyDescent="0.3">
      <c r="A66" s="35"/>
      <c r="B66" s="32"/>
      <c r="C66" s="32"/>
      <c r="D66" s="32"/>
      <c r="E66" s="32"/>
      <c r="F66" s="32"/>
    </row>
    <row r="67" spans="1:6" x14ac:dyDescent="0.3">
      <c r="A67" s="35"/>
      <c r="B67" s="32"/>
      <c r="C67" s="32"/>
      <c r="D67" s="32"/>
      <c r="E67" s="32"/>
      <c r="F67" s="32"/>
    </row>
    <row r="68" spans="1:6" x14ac:dyDescent="0.3">
      <c r="A68" s="35"/>
      <c r="B68" s="32"/>
      <c r="C68" s="32"/>
      <c r="D68" s="32"/>
      <c r="E68" s="32"/>
      <c r="F68" s="32"/>
    </row>
    <row r="69" spans="1:6" x14ac:dyDescent="0.3">
      <c r="A69" s="35"/>
      <c r="B69" s="32"/>
      <c r="C69" s="32"/>
      <c r="D69" s="32"/>
      <c r="E69" s="32"/>
      <c r="F69" s="32"/>
    </row>
    <row r="70" spans="1:6" x14ac:dyDescent="0.3">
      <c r="A70" s="35"/>
      <c r="B70" s="32"/>
      <c r="C70" s="32"/>
      <c r="D70" s="32"/>
      <c r="E70" s="32"/>
      <c r="F70" s="32"/>
    </row>
    <row r="71" spans="1:6" x14ac:dyDescent="0.3">
      <c r="A71" s="35"/>
      <c r="B71" s="32"/>
      <c r="C71" s="32"/>
      <c r="D71" s="32"/>
      <c r="E71" s="32"/>
      <c r="F71" s="32"/>
    </row>
    <row r="72" spans="1:6" x14ac:dyDescent="0.3">
      <c r="A72" s="35"/>
      <c r="B72" s="32"/>
      <c r="C72" s="32"/>
      <c r="D72" s="32"/>
    </row>
    <row r="73" spans="1:6" x14ac:dyDescent="0.3">
      <c r="E73" s="32"/>
      <c r="F73" s="32"/>
    </row>
    <row r="74" spans="1:6" x14ac:dyDescent="0.3">
      <c r="A74" s="35"/>
      <c r="B74" s="32"/>
      <c r="C74" s="32"/>
      <c r="D74" s="32"/>
      <c r="E74" s="32"/>
      <c r="F74" s="32"/>
    </row>
    <row r="75" spans="1:6" x14ac:dyDescent="0.3">
      <c r="A75" s="35"/>
      <c r="B75" s="32"/>
      <c r="C75" s="32"/>
      <c r="D75" s="32"/>
      <c r="E75" s="32"/>
      <c r="F75" s="32"/>
    </row>
    <row r="76" spans="1:6" x14ac:dyDescent="0.3">
      <c r="A76" s="35"/>
      <c r="B76" s="32"/>
      <c r="C76" s="32"/>
      <c r="D76" s="32"/>
    </row>
  </sheetData>
  <mergeCells count="4">
    <mergeCell ref="A22:J22"/>
    <mergeCell ref="A19:J19"/>
    <mergeCell ref="A20:J20"/>
    <mergeCell ref="A21:J21"/>
  </mergeCells>
  <pageMargins left="0.27" right="0.27" top="0.55000000000000004" bottom="0.32" header="0.21" footer="0.22"/>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 B i n g R o a d < / T h e m e > < T h e m e W i t h L a b e l > f a l s e < / T h e m e W i t h L a b e l > < F l a t M o d e E n a b l e d > f a l s e < / F l a t M o d e E n a b l e d > < D u r a t i o n > 6 0 0 0 0 0 0 0 < / D u r a t i o n > < T r a n s i t i o n D u r a t i o n > 3 0 0 0 0 0 0 0 < / T r a n s i t i o n D u r a t i o n > < S p e e d > 0 . 5 < / S p e e d > < F r a m e > < C a m e r a > < L a t i t u d e > 4 4 . 3 8 8 3 6 6 2 1 1 4 7 9 4 1 5 < / L a t i t u d e > < L o n g i t u d e > - 1 1 6 . 6 0 9 9 5 4 2 3 0 8 0 4 1 2 < / L o n g i t u d e > < R o t a t i o n > 0 < / R o t a t i o n > < P i v o t A n g l e > - 0 . 1 4 3 3 7 2 4 5 2 8 5 3 6 4 7 3 9 < / P i v o t A n g l e > < D i s t a n c e > 0 . 7 5 < / D i s t a n c e > < / C a m e r a > < 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 N a m e = " A r e a s "   G u i d = " 3 e 7 d 8 4 d d - 4 8 a 9 - 4 f 2 7 - b 8 7 0 - 9 f 7 1 9 5 3 c 5 d 9 e "   R e v = " 8 "   R e v G u i d = " 5 4 6 2 b 6 2 9 - 6 c 4 3 - 4 1 6 5 - a 7 8 f - d 6 c b 7 7 2 9 2 1 b 7 "   V i s i b l e = " t r u e "   I n s t O n l y = " f a l s e "   G e o D a t a G u i d = " 6 a 9 2 4 f 1 c - 2 8 a 3 - 4 8 6 0 - 9 e 1 c - 4 e 8 4 a d a 0 a 3 7 2 " & g t ; & l t ; G e o V i s   V i s i b l e = " t r u e "   L a y e r C o l o r S e t = " f a l s e "   R e g i o n S h a d i n g M o d e S e t = " f a l s e "   R e g i o n S h a d i n g M o d e = " G l o b a l "   V i s u a l T y p e = " P o i n t M a r k e r C h a r t "   N u l l s = " f a l s e "   Z e r o s = " t r u e "   N e g a t i v e s = " t r u e " 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i c e s & g t ; & l t ; G e o F i e l d W e l l D e f i n i t i o n   A c c u m u l a t e = " f a l s e "   D e c a y = " N o n e "   D e c a y T i m e I s N u l l = " t r u e "   D e c a y T i m e T i c k s = " 0 "   V M T i m e A c c u m u l a t e = " f a l s e "   V M T i m e P e r s i s t = " f a l s e "   U s e r N o t M a p B y = " t r u e "   S e l T i m e S t g = " N o n e "   C h o o s i n g G e o F i e l d s = " t r u e " & g t ; & l t ; G e o E n t i t y   N a m e = " G e o E n t i t y "   V i s i b l e = " f a l s e " & g t ; & l t ; G e o C o l u m n s & g t ; & l t ; G e o C o l u m n   N a m e = " W a s h i n g t o n "   V i s i b l e = " t r u e "   D a t a T y p e = " S t r i n g "   M o d e l Q u e r y N a m e = " ' R a n g e ' [ W a s h i n g t o n ] " & g t ; & l t ; T a b l e   M o d e l N a m e = " R a n g e "   N a m e I n S o u r c e = " R a n g e "   V i s i b l e = " t r u e "   L a s t R e f r e s h = " 0 0 0 1 - 0 1 - 0 1 T 0 0 : 0 0 : 0 0 "   / & g t ; & l t ; / G e o C o l u m n & g t ; & l t ; / G e o C o l u m n s & g t ; & l t ; A d m i n D i s t r i c t   N a m e = " W a s h i n g t o n "   V i s i b l e = " t r u e "   D a t a T y p e = " S t r i n g "   M o d e l Q u e r y N a m e = " ' R a n g e ' [ W a s h i n g t o n ] " & g t ; & l t ; T a b l e   M o d e l N a m e = " R a n g e "   N a m e I n S o u r c e = " R a n g e "   V i s i b l e = " t r u e "   L a s t R e f r e s h = " 0 0 0 1 - 0 1 - 0 1 T 0 0 : 0 0 : 0 0 "   / & g t ; & l t ; / A d m i n D i s t r i c t & g t ; & l t ; / G e o E n t i t y & g t ; & l t ; M e a s u r e s   / & g t ; & l t ; M e a s u r e A F s   / & g t ; & l t ; C o l o r A F & g t ; N o n e & l t ; / C o l o r A F & g t ; & l t ; C h o s e n F i e l d s   / & g t ; & l t ; C h u n k B y & g t ; N o n e & l t ; / C h u n k B y & g t ; & l t ; C h o s e n G e o M a p p i n g s & g t ; & l t ; G e o M a p p i n g T y p e & g t ; S t a t e & 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L S t a t e   x m l n s : x s i = " h t t p : / / w w w . w 3 . o r g / 2 0 0 1 / X M L S c h e m a - i n s t a n c e "   x m l n s : x s d = " h t t p : / / w w w . w 3 . o r g / 2 0 0 1 / X M L S c h e m a "   x m l n s = " h t t p : / / m i c r o s o f t . d a t a . v i s u a l i z a t i o n . C l i e n t . E x c e l . L S t a t e / 1 . 0 " > < c g > H 4 s I A A A A A A A E A N V Y 3 W 7 T M B h 9 l S g S l 3 N s f / 6 d 2 k x b E a h o W 6 U N E L e m C a 1 F m q D E 3 R C v x g W P x C v w t e l W b e u 0 r F o p X F V N 7 P j 0 n O P j k / 7 + + a t 3 9 H 1 W R F d 5 3 f i q 7 M e M 0 D j K y 3 G V + X L S j + f h y 4 G J j 9 L e C X 4 9 d e G 0 K g d u P M 0 j n F Q 2 h 9 8 b 3 4 + n I X w 7 T J L r 6 2 t y D a S q J w m n l C W f z k 4 v c e T M H f i y C a 4 c 5 / H t r O z p W X H a G z b t h N v B M z + u q 6 b 6 E k j m g i N X v p m 7 w v 9 w A a G T S V 5 B l i z w 4 8 z o a z 8 + c t n M l 6 9 9 E 2 o / D v 3 z / M p l D m 9 + d M U 8 j 6 b j f h z q e Y 4 X 3 u b V R d 5 U x X z x n O b e 9 6 g I / R g s A a n A W g m K A T e M x 1 G B b B 0 w p o i S E q y U V O N l i e T h + O N 2 Z Q S I T 2 S 4 x J u q n r k Q 8 u w 4 y + q 8 a d I W T S 9 5 c K O 3 G v H G 5 0 W G Y B b o y 0 m E T B + W v l h h j p L t b 6 T n H 3 t J + 9 Q n H 5 J + K D 2 C j i 6 D C 3 m z n p b c A 5 n c o f A x B i k T j C o t q T C G m x s G O S V a G a 4 5 0 m s p B 7 G B Q r 4 X C l c i R Y O K r H / 6 i r n B 8 f 1 L j 0 r 0 g i Q C U U p Q y a i U l p o b E 1 o g Q D V T m k r g n C u p / g s K j y 9 2 T u F d X + J u S p a b H z + H m 0 P i p P b B N 9 N X n A 4 w D 2 a f / Z a B I Q W R i h n F r Z B S o m j s 1 u 6 S M I o a a m C c M q Z R x G 6 J s Y K G b m y B 7 S U 7 T g b d N R u 4 E g N 3 P f 6 p 0 H i 2 W M P M T a v t A l 0 I A s Z S E F w z L t r U W Q W 6 w E C 3 g i l m j Q Y q d F d 9 l m j 2 I s r w 9 Z r k J 4 6 L l 8 s i I Y k R g j M m t Q F l M d p v H M 4 k E U o L z o W R I F n 3 N N o 1 g + l y g Y 1 x / h c o f L a 9 R 3 U + q c o t / Q 3 E g s F C w q U 0 0 o L G Y t L 6 G 4 / b 9 a V u y d M C 2 Y u 1 R 7 s / I + 5 U l 7 b t Y a c z S j M K U i u l K M P z d E m e Z U R Q w O B W B v A M F s p u C I e N X W X n F K b t C h v N f T b a e T 4 8 3 9 z j 3 G 3 p b S z j G C x A r Q I G Q i / r z l I e L Q i W S C 7 Q 8 4 D q 4 Q b o L M 8 C z Q 4 N n o 4 W C 2 w U 5 / z d v y f O W V X i C 9 u W 1 U d o g n t E G C a t t p S C v T 0 Y q C V K S G r o o h B R 1 f 1 l a Y V n h w I 9 X t 7 P 3 u 9 c n 4 c J J I B I p E 6 j u S X l F t r 8 4 U D 4 g j u m N S j D l q W y W 4 L v l c D W T N 1 Z P J k X E 1 f 7 l 2 q O y X D R + + / 9 f 5 H + A a x 4 n m X 6 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3.xml>��< ? x m l   v e r s i o n = " 1 . 0 "   e n c o d i n g = " u t f - 1 6 " ? > < V i s u a l i z a t i o n   x m l n s : x s i = " h t t p : / / w w w . w 3 . o r g / 2 0 0 1 / X M L S c h e m a - i n s t a n c e "   x m l n s : x s d = " h t t p : / / w w w . w 3 . o r g / 2 0 0 1 / X M L S c h e m a "   x m l n s = " h t t p : / / m i c r o s o f t . d a t a . v i s u a l i z a t i o n . C l i e n t . E x c e l / 1 . 0 " > < T o u r s > < T o u r   N a m e = " T o u r   1 "   I d = " { F 9 F 5 8 C A 3 - E B 4 E - 4 6 A 6 - A 5 B 0 - C 1 8 5 6 D B 5 B D C A } "   T o u r I d = " e 2 6 0 1 2 e 5 - 0 e d b - 4 4 5 b - 9 5 1 9 - 1 4 b 5 e e 8 6 c 6 8 6 "   X m l V e r = " 1 "   M i n X m l V e r = " 1 " > < D e s c r i p t i o n > S o m e   d e s c r i p t i o n   f o r   t h e   t o u r   g o e s   h e r e < / D e s c r i p t i o n > < I m a g e > i V B O R w 0 K G g o A A A A N S U h E U g A A A N Q A A A B 1 C A Y A A A A 2 n s 9 T A A A A A X N S R 0 I A r s 4 c 6 Q A A A A R n Q U 1 B A A C x j w v 8 Y Q U A A A A J c E h Z c w A A B K E A A A S h A X x / 1 Y g A A G F j S U R B V H h e 7 b 1 J j 2 R Z l t 9 3 b J 7 d f I g p I 7 M 6 s 2 v q 6 m 5 R j S Z I U B C g J Q F B C 0 E r C t p z I S 4 I a s s d l 4 I E C N A H E A Q u u N N G k D 6 C I A g C B I h N d n d 1 V d e Q Q 2 S G R / h o 8 / g e / 7 9 z 3 3 V / / s L M 3 T w i s q o z w 4 / H C z N 7 w x 3 P / 0 x 3 e K X / 7 f 8 Z p P Y d o l 7 T b L Y 0 W 6 3 N t h W 8 V D J 7 3 D V r 1 c 0 a 1 d T v n e v 4 0 W N + m 1 V 0 f a H f p N N t m J X 1 + 2 0 p V S H O J 2 a 1 S k i 7 r g M i z 6 n S 5 3 p X Z S a P t b 5 P 5 i F f 6 l G 2 t a 2 X M 5 W 3 Z M 1 W O z x 4 B 5 H e n H T 1 n f Q G U + V b M z v q h H T P x v q u p O p l 5 Z + Y j Z T f I 7 X F r n V c L h e e R 7 V W 0 z P h o U S / L 1 X H 0 c K s 3 z L b U 9 k j K Q t b K N 9 Y p q r y r e h o q u 1 5 e j g L 9 e d i l t y d R P 6 v z 8 d W r T f s o F P 1 O r 2 8 D O m P V Z + J 8 v q o H / q O T / L z a 8 r r L 7 8 O / R H z 4 p 6 f P D U 7 V P t 4 W 6 m f z v U 5 n K V W S p Z e t m a j b k 2 1 4 Y W e o 6 7 7 q m N N / T h T f V e q I P 0 6 W 5 l 9 f W H 2 8 Y G u q 3 2 p L + e 5 f 6 F r t U r q a V T + y T / 9 l / 8 q Z P 3 d I A p O h S e L k j f i N o L Z 1 H Z 2 O S t 5 p V u q L B V f i t H p A D p 6 r c b q q M H f h e g 4 G p 1 0 q m Q o g i E 4 D 3 M B s L I + I f q Y j u K 8 X 1 d B a m L c x V y g 0 l + l k i V w C 1 G X C z E E T D N X f Z 7 0 d F J p 1 f V o Z G R l I b A q L 9 U Z o X I / g Z G q n R I J g 7 L K r l L p W Q 7 S I f 2 l 6 h r L z 0 G b 0 p b U H e a k f H z n H u j V k D 4 L b c 3 n L h T y q 4 j h 5 1 a r 1 7 3 v A M Q j 1 Z V + P V W a l I U 0 D 3 S e 7 3 r E 2 5 p + O B 2 Z t V X e j o 6 x Q A E g Y X 7 S A I w I m f m q J M G Q i E d W d j K t 2 Y n S P B B Q A A v d Q J 1 I g z Q R J L T 3 R J + v d R / 9 S 5 4 I 5 S / P A t C W a 6 U n v v z O A S p J A F L J V q o U F d t G M D m d D w C n A l 8 E F U x I g 3 L Q A J w n G Z i e T r k v 8 e w S C a W G h x E o E 9 q J d O l M 8 u M 3 B z c 7 s + m g Q 6 a 6 T l 3 q e n g 8 H g k A d Z V D F 2 4 h w A H T o C n o b A d z B h r y j / X g c F S J u I f 8 d i G e W 6 m w q 7 Q s i V v 2 N C O 5 c N B v h B J p x v p Q V + 5 D U y K 5 k y w / 7 o 0 g 4 + D 5 X a m k i s x n U w G q o b R L V / V q K o 0 T A Q Z g A R I 0 f Q Q U 4 E a T k A / n n + 4 F j U a Z u J 9 z A K a n 9 g M k + + 2 S d e u J 8 0 W 3 W f Z 0 O r o H c N G f A I h y r 1 V f t A 9 1 d W 2 l 9 E 4 E U i l R b w v K p t u c n / T 1 u 0 U 0 D I z q N b i D Y P T x X A D U v T A 2 z 9 H o N D 7 m D A y N l H F g 5 t K D + W 8 D 6 w 3 S f Z Q p E l 8 x 9 c 4 k 0 d A k d A r 5 D i T x 8 l i h D B B m x i q t W K P Z c g Z a L j C 5 b s + c T o Z g L u p D P S B O 0 9 k I E M 9 A B / U + F o N Q z 5 1 I 7 V K S K b r X T B 0 Q 5 A V T x h L B U C 6 5 x V y 0 E / l j Q s P E f O c Z j l g F r s G w 7 b e w B K r V m p j 5 u u C A F k 3 5 y W E w x 8 g P 7 f C 1 z M H j g d l X + o 4 G e S Y z 8 A e 6 B z A j f A A R 9 N V 5 a B / S e S R t V X M 1 W p K Z u 3 Z g A B o q y i c a C u 1 6 q T 5 c 6 h x 1 x q z + R C Y f x z N p S w B I N b m f v F I J + + + c h o q 0 M 8 O L k J w u X f W d y m N 3 0 8 m 0 Z 1 + N H U 0 Y C O m K B O S Z X a Q 6 z 8 G s p O G A 0 W + X a k o H 5 o M B 9 t S p l z C l z p N u z A u J R 0 f C 9 H T Y a D T U N Q R A K m b S w z l C 8 u J / o R j g M f L k W U w Y 6 h T N K p j f Z H 6 4 R N e B F K V s 1 H e 3 + o j B B G r M z 3 K 5 4 m X G / 8 T 3 o N z k Q d N H T U t V y B v g L F U W z 0 v 1 z Q s P i P t I C w G D o M F C o N y p 0 i P d 2 C Y 3 S C d X 8 u n w 5 / K E R q Y c l 2 J 6 2 n q k z 1 P V k + 8 A C D O Y u n J Q N u 6 n v Q A d w i e C j D z R X p V S I i s h m L i A F J M x + s X 4 n 7 Q d h F V A m e l T f D P 6 j G v 0 M + W h n X Z o 4 u 8 2 0 c h u n q h L Y Q A H E w 2 h w 5 n f r + V I L U J D 7 c J 8 k W C m y A 9 8 0 s j Y 4 9 j 3 m B m Y D 0 h 0 J D c d C g P A X H Q o H Q s w p i v 5 D P W + M 8 9 q t f Q j z R X u l Z i B + + h k h A P a C X C S D 5 0 M k b 6 D q 4 w f F A C Y 6 h w d z r U I Q q 6 R / y 4 E M G C e y P A 8 R 3 v G 8 t O m t F X W x B I E f t t G 4 p l v p E 3 Q K m g 3 w D X M h M Q m q i h h + i 8 p d B J t 8 N k j a Q m Z d J 8 e q U / 3 r z W k 9 1 t W V u p 8 I B D g e 9 E u X E L r A D 4 I 8 D f U M R W 1 V 7 s m U G V t S 5 9 8 r D R J H x B R R 5 6 n v r H u 5 I M v 7 / e o j + E B 7 i O P 7 z 3 R 0 I f t 1 P 5 A Z g D a g P a m A W C 0 y C i R a B D U N 5 2 x K z l z 5 V q S N G l w 0 o j J Y C 4 A r m j + Y R Z y D Q b n e H E h Q 6 t U l 6 S s i 5 G q N h m P b e E R N y U u g j G w 0 W E C 0 q b z Y C x n l C w T b i U t o h I t 5 Y W m w F 8 g L 8 x S g I z 2 x U R C Q 4 S U N 1 E s d a B 8 W 5 A 3 j P d G u + k 3 4 N u e p p 7 R 9 S N J / B 8 K D E + z K B 2 m Y E y f s q O 9 k P Y Q 2 r K q i q K l i k T d I Y D 5 V I D B X 4 L Z j 1 W 3 + D x E m W g z I p O U n W u Y c 5 Q T 4 X Y + k V Z a l / V b 3 q z K Q R q Y 6 / A J Y I p t D b C 5 H + 0 F I F / I f K S 9 S Z 8 g B j w j G f j 9 B x S g O e q m b j t j X 9 O Y N B Y M R Q d u Y o A i s 9 x F N G r x E e 8 w 5 Q m A Y G I 6 h M 7 B H H k u 6 Y c W h C K o f / w k 3 P v r U 3 q w Z e 1 u 3 x a S B C v s K F F P n R u Z a B u R J 8 w e T S 7 3 X 5 Q P U p d n k b y P l T / f 8 3 5 f k c o q 6 D Y / j r J u a h / a F 4 2 z 4 d I V c Q 2 N G g U D Q H J w h s t + r n 1 D Q M j 8 X F d k l i V v 9 B P 3 Y I 5 9 f h r a l 3 o B G t o Z M y 5 P n C P 6 i a U A w Q c M A w B m w L j f r T t o 8 d c A j K w / t 2 Q Q Q A D n x Z n Z z 7 8 x + y s d + L y / O Q m R Q z Q + R c W k B N h f 6 l 4 9 + v 0 m J B K B i V e j k o 8 / w G A w N n a 0 m 0 L Z f Z u I T n T w q W H z U q 9 I g K P I Z P g 5 S D Q C I z A K n b m J R 2 F E J D V l e q 5 O R K P g 9 5 y O 5 e D W W z a f z 2 w 8 G r x h 9 m w i 8 o F x N p F L U 8 q o T 5 g W s 7 R Q 5 C t C Q y a q 8 F 3 B k U g w L H f S p t S j S E h 9 f L u 7 q k A b A v 7 Y l n z W 8 G v k E w 4 m 6 R t 9 A C B + 9 l E w r e l L T D + 0 y U u Z x 5 5 f V n z q T b u i H b 1 8 O o + W o e 2 5 p a I b + J s v U z c / n 0 j b Y S 5 j n h I N R J g 9 0 r l P l D 7 3 / 0 T C 7 w c y N R G Y L p R 1 E j 7 x 9 L + r Q Y l d i U a l Q 1 0 j S O K 5 a a Z z q G g a d 5 O 0 j Y T U Q Z N h A t B h S P b b 7 o 9 E A 3 M b H Y 5 J x h H D y X R 4 n p B y R J J g 8 O g b E e 6 n z J 1 6 S c y A K S J z c L V y R u f 7 b S T / O v R 6 d p t / Z G 0 A 4 K g z v h f f b 6 2 7 7 B f 8 u b v y i 0 T 6 M D z 1 K z 4 C 4 2 L m I l T 8 e n Z + F y q L 2 d d K e K Z G a a g D 8 o D 1 u m R p Q v Q x V f + 1 N A i a h P 7 i O u c 4 u A 9 f l H P 4 S N y D D 0 d 5 V 4 m E 7 u X K j g d V L y u W D I E g B B Q C D 0 1 6 K M C g F e G p L 6 Q Z 0 V L 0 F f 1 N g A T g 5 o r 3 / S U 6 k B k T j R q j P m o Q H U W t Q 4 N H g j k g O i R q D x g Q K b S L 0 O Z 5 I j 5 R Q k J I M w D D O U w j / D o I s J G + p 6 3 f 2 O O Y R D 6 2 p B 5 q N l s 6 2 u p 0 x m V U 6 F 2 o U E b y p a 7 k S 9 n o + N t w w l i Y B 0 R 2 1 F C k F d s H Z n Q / L i O S I G + u x T r f h w B 0 C G 8 n S u d m e f g 5 V Z r 5 0 5 h w + M o I q Z + / D F q G 7 1 g L + L B o M c x h t C k A B x S Y a p f z i o 3 U S Q x q R 9 C 6 M N Q 9 t J s L I J 2 j L g h Z n g d g 1 I k g C / d x P X v 0 + 0 s 0 D h 1 + I e d z s p S T m z X M V x c y A T M 7 m A 7 B N I P p I R i C 8 x C N D r D o s 2 0 8 R i P n m Y j 8 8 F / Q c H Q k E h o N x W 8 O z B F 8 G M 9 b z x I t i t c g 8 k O 7 x Y 6 F q R r N p s q Z y A S c i 9 n 1 c K 4 c l I l n o / l R J N K B A S D K A h N s u O 2 K y C 9 R Q v E e w E A 9 y C M v h P I E a H m A Q V E k f 7 y P t s D M J n / q H c 2 s + 1 B F C K D P q P 8 b R G K 5 B N F C j E H h q 1 F m x p 6 Y c k R 5 S O M P H w V / C z 7 g H j S O X C i Z h C V 7 u l + 3 Z 7 2 V m 4 e A j i E V Q I g 1 g 6 D A n 8 K c x M + i X t x H 2 3 L A J 0 x L + t 6 a f D D l 4 1 7 q g 3 B M O V m s S t 6 Z t A Q M R X S H 6 U v w J o 3 B N Q B F x 9 P 4 q H z 3 M 9 R w M D 8 S i P v 4 z V E k p B a m B N f Q A B E M 9 C L p Y Y u T N v f B f F y P I / K Y K p g X A C K f R j 4 f m B z G C s 4 z U 2 Z k / h E T V 9 l K K v d S w m K q t B P 5 G / C X z 2 K 6 8 f x 1 + a k / l 6 7 K K H I g 6 i T n X f L P 5 l a v M 3 O j 5 H P k M I 1 o B x + 3 0 X M w H P d G o v 0 I S X M N R q S O s f z U B Z M p A j 7 W c V c q K Q E C B v R h X Y g h b z + v N O j n Y l q U I Q p B A I H G p y 8 B G / l z Y H l w D + e 5 j j b q N M t W S y d W r j Z c 6 y B I E L S U n / 4 Z q A 2 i b 0 Y e + F Y 8 h / A j I M L 3 r G j f T 6 L R i K r 9 Q K D 6 2 b P U n U a k 1 c t L H F 3 d I P 8 E I o D A e e 6 H 3 N e h Z b K O c r N P j Z 9 n c h o b x x Y p y H k 6 J 6 + l I B q d d L j H m U j n A B f M h + T E l O B Z J P 9 Q + e O r R X N z E 1 W q V Z 9 R g e 6 Y r 2 Z i j F B + w u S 1 p k x a d W q i O s n d C t y U f W R f P X 8 Y G 7 + A M p A / z I G m R v J i / j D 4 i Q Q G O D F 5 Z x g x D 5 K c 8 l J v J s R G p x w h A Q P y m 0 h i n A q V J 9 o H w U Z b 3 g d M E L N a G l U e S n 0 g O 5 b r N s I c + 9 m z 0 P f k H b U j / e 6 M r 3 6 h H A C f 6 / Q T A q s s 0 / p i s v a 2 o V 2 o m 0 c F 1 T 8 M b n 8 q 7 U d f x v a h r h y c o 8 7 f W w 1 F Z Z k A S e g V J k U 6 M V a B d B 5 L m i N 5 V p L m n K d x G X O A c S D G Q j z c r G s Q D V X k A c D C Q Y M D E h g L a R c Z C V A C U v o e J m A c C l D S s R C 3 u T m R g Z W O R Q u g C S n T N q Z j j h s + z n I 5 t 3 J N 3 7 0 C 4 X 4 H v b 5 T N / K E e Q A J 0 3 T 4 D X i 4 D w a i X J Q Z E I B h H 5 z U s 5 S f e k / F f e 1 m R W m G O W 6 R 6 W A c Z y g 9 S 1 0 I 9 d O + P B N D 1 9 v K T t q U z + U Y o N c z u x J J p s n a X o + V g H 7 l Z 5 x s I u 8 H H Q g + + p L f l B O + I M x O O S l L k X A L v j g e 2 j y p q x 8 I 2 w f h S / 3 1 4 d q X W R R E F p m + B L A Q j t w D L 3 y v o 3 y x o x n 3 8 c F a n a M x f v Y k g I t G n m W m I M x F W B 1 p R E P 7 1 B T d v 5 W x d Q A k z H q Y k o P x H 9 d s X N c N H I k 6 V O Z 5 k G D q z K 6 A 6 0 w p h g B Q d A j l 4 D d l / T q L Q k X m 3 k Q h a J D a d D I R w 1 f 9 N y Y h t / M c + d a V H g I C 6 Y m p h x Z G w 8 T r 4 J A 8 E Q K Y n P z m 4 D p M 2 K z J r B T n x y l Q s S g 8 y z 2 U E W F A H f h O f r Q H 9 Q H A P L a t / K F h s 2 N H o n 4 r C Z G 9 V k V C Q l p E Z i j 5 0 2 8 c L i w 4 s n S j J U A Z q B 9 l R D M h U P H x a B f 3 + 3 I E z q n z y T d f 2 K V M h p o k F B O W C d s 7 + H Q D / i 5 Z o L E h + t 1 d A q U H s L 5 z 6 6 H u S z T m Z 0 d p U M 0 Z q P I N i T Q / V Q P T y L 5 W S Q B 7 u i f T Q v 7 V p 4 e p A 5 F O o h H z R K P R a Z y n M / k 9 U B p M c 7 k i X X e x J k b N G 9 d + v w 4 6 A h P r I 4 E b Z k b i Y / a x l o u 0 Y V y E A m V 3 R i k Q o e 3 x a C R Q V a z d 6 T q w N h F 5 o a k Q E q T p 2 l u M A A j y T M 9 5 T B u o U 1 v 6 2 q h 2 W 2 J 4 B 9 K j 3 p Y O O B 0 M T 5 A 0 T M 0 5 h M W m O t y H Z r O p 1 7 V a r f t E W M p L f e j j a N b B 4 H F W B J q J 8 8 V s 8 V 2 P 1 E / 5 8 6 S F Z d J t J P b r 3 3 5 t n 5 + u V f a y 1 b t P r a W E c B c A M P W g 3 2 L f 4 0 e R F 4 P B L h x D c t 9 f w p l k Z P u v j 0 s e Q k U 1 0 3 i R k N 6 E W j / u q 2 H 0 H W n 3 a q i m 0 j 2 M M d B B S G x A k C e X x j p P W n Q a D e 3 M m l 1 3 k r m Z k F S u 5 / C X s M 9 5 F s b D 1 L z C g X 7 j K i B N o 9 b g v j y R X y w L s 7 H 3 + v s + X j S d C o n b S G l S T 8 A J k Q Y m W 7 4 d M F G 5 z i 0 I H B g 3 z t K A y D O a T J u I K k Z / h P r w m 3 t f i P G / O g v t + q 6 E t m B p C b 4 j U 7 E A K F E 6 2 h C h Q 5 t F g R G Z n 3 L k i e I 7 s P W F d B g w J + C B 8 J h I 4 1 9 c D G R 6 V 2 w m d J T E E L V 0 K D 8 s s R 8 + S u 1 5 P / V o 3 9 f n 0 m I D m Z + X q z C b R Q 3 D A k h M 9 u / 9 w C 6 N y 6 A d j E w 7 A h A a P m o p G A n b l w O f C y l X q Y S l C z A 2 J h w B A 6 R 5 N O c g 0 o L J X C J n 5 w E v k i o C h I g b 4 y T u 2 / C A C F 8 G b Y H 5 w U E e V 5 J b 6 Z E G 0 U D u D 2 W / e Q + M S R 1 c 8 u o c p h B m G T M q i M r x u 0 i c A Z y k y c E t 7 p h n t 1 I P f C H S j k 4 7 M x T m 8 2 k W B A n n M Z c Q A l s U 4 R t E P t S F O v D d / Z 7 s 2 t s Q d V s u 5 i 5 A 8 G / Q F N E / I n 3 q S P r k S f v k K Y K H Y 7 V a 2 W Q 6 t Z m E 0 H A 4 8 m M 8 H l u y n P p i z 1 o l c Y 1 / I B u 5 v B 5 Z u 7 y Q O T m X 0 F p 6 X 7 + W b z C 8 v N C 9 Y 1 v O B g L j S q 6 C G k j 6 6 X t v 8 u U J h / 8 H M u O i / 8 I 4 A s y E k 0 p H 0 A n / / m u B Q A y L 1 M N U T K R e G F A k W g h j w + Q Q H V g k J B S 8 R o c i 6 v G f 5 O O 6 d o j M S 8 S P 9 U l M M y r a 8 D A s a W C y Q D D v N z I J m d E c Q Q v T 4 6 P A S D B Q p O l 0 L A n e u P J 5 b i O 0 K 0 x O m a h / 1 I L 8 p n 6 e t v I b X J z b 3 v 6 B X 0 M g c W 8 E 5 q 7 E M 9 Q Z Q L o 2 v s e z m 2 g 2 m 6 k t S r 7 w E G G Y B z d d M 1 u k 0 k x 8 u 9 Y + i 8 X C x + 9 g f H 4 z x j a T 5 G q J I W g v t H F N n Y R A Y g U 1 f u k a s y J Z 2 6 u z g Q 9 V M I N / K Q Q P R 1 N L y 0 i j u s 2 T m p W S h S 1 m Y x s r v a P 9 z o c F K B o f 0 6 4 k x 5 P O B V Q w v 0 + U z L T W / / 8 l A G N 5 d G A A Q t R I b A D A 8 z A W w I w d m Q c Y j M r 4 F Y 6 r + 0 4 w T 4 7 p Y W L s d 5 4 l I l b k L c r h I N M F w E W Z f v U 6 5 B 2 d Y P L D Z A R g l C t S 9 C 8 w i z Y R j O 3 L R v T d A a X y U X / S 4 d q 1 x r s u 1 3 B w a b 0 9 Z f 4 O h M a n n N Q H k L o W K V b 8 H g Q g 0 C x o E C h q n Q i c C B 5 M Q 8 5 R Y 0 A D U P h k j R f t R K U p R m c v + J 4 e 1 N l Q s J U a i / Q Z 3 W M h 4 s X l w D q d l j R 3 W y 6 B z i q d y X h k X x + f 2 q P D v Q 8 L U B A M 9 N k h Q A q g o m 3 h M h i Z 9 v y 1 G P j X r 0 s u p W E E T A V A R 6 Q Q c 4 5 7 u B a b H s n L e M W h H H 6 U A 6 D Y R 8 P g P C E p c 3 1 E h B H A E W F E 2 + U J h 5 b 5 Y A Q k 0 E K Y M z D 5 L 4 6 D j 4 d T D H G N A A p l w E + I N J M J U x G 3 b g M U W o 2 B X 0 x X N D T p U G c 0 x j Y G H w 2 H 1 u l 2 N z L a X Y T 2 Y D C b + j L + h L b F / 4 C 8 3 d W W d 2 m r O M 6 W i G k D c N a u Z S 7 O z 1 x D L W T + L R a s H V v 5 9 b o q 1 2 g 0 x e z S 1 O p Y g M M R t V A E D g Q Q F l N p O z U G Y I u E t t 4 W Q K E 8 H J 6 G D t w E t C + B j L H M m v O p T O 4 P D V A Q Q O n U A 6 D Q F G g C h B k a B I D 8 5 q T k z A 3 R u B 8 f 6 F 6 B B A f 7 T 5 8 H Z g A A 9 D f M e T y Q v 7 E K 6 6 2 I 9 O 0 T W a j q I m D N E Y E A N h g B n E X C 1 K M P A Q k a A 4 l O x I / J n J 8 d h Q g d R G f R i Q A O R z w y 5 W B w E Z i J 0 d 0 C U U 5 A T x j 9 h s + W I 7 Q W a Z N e T B P J W 2 9 g R l 4 z 3 H 2 I 9 I j 8 E d x B q 9 K G U c u H m S h B W O X 9 G 2 a B r N c s W 1 n Z X I C Z z 4 P G Q f O 4 p l D h a w J O u 9 W 2 V q t 1 p X l Y N 1 U E T f z c R O R J I I J W x 9 T z c z o I L s Q h F Q i e Y N A a P m A W e l 4 I 0 G a M N c I r u A n w x A c J K I i 2 Z h n D s 3 7 q D E 7 j / P J V S f 5 K 6 p G j L 8 7 M 5 / s x 6 y C G g O n 8 P / 9 B C F g Q X k Z C x f E q t M Z z N b j 6 3 s e a N g 1 a A h T C y A C 4 S A Q q C F i g j W A + 0 u Y + n 8 G h T 8 K 8 k Q A U + W O y A R L y X y 6 X N p 2 M b Q 8 T r c B I 1 I 2 8 3 d z K z u U J w J E f e T F g G c u H B m A Z R 1 O M e x t F T Z K n K M 0 B w U r o X 0 j g V M s q S M r v t R 1 f y J c R c A j P 4 6 M Q V A F M J M V g M k C B 0 Z v S N t G 3 A T g M b P u M B p A p u g 0 0 d x G A Q r u 1 c l u 4 A S A E J q n S b l + c h 7 5 h 6 Q b C N w 8 o K A o / n l F V P 1 x A Q T T O Q T t 1 y Y N Z 4 u N A I 7 M / e q a L u o a J 9 P l Z y V e 4 Y k t j R w M + B k P x o x q 1 M G L P f W s x O S b U g c B Y r d + / k + k 8 G B r + Q P v 4 B E 1 9 9 2 k + k u h M o c k T H U 9 5 Y X 5 M w 1 S M y k C v M 5 7 M v j y j M a k T b Y y Z S M d D R R C Q n i + u k 5 n K p F E / J 2 a b T k b W 7 f V v A C R 8 8 j t o l e v f H A I K I H I f J k T U O O L z H I A h m G N l g a X h Z U 6 S l c z R m u 9 P y P W o a e I R C Z O M s q K d 7 y L a F N M 2 7 2 v m i X K x f w Y T j y N A 8 0 T 7 / v Y 0 p I O V w J j T X T 3 7 w Q O q 2 0 x d m d R k 5 O N X o Q k Y 4 6 A j Y F R m T v z N S z H 7 W C p o d i Y G q E q L V F y 7 w f 1 s a 9 a R c 8 U E z r I 6 u d O A A a 6 l J w c T T K + Y I j s X O y a e R + v U B V D y x U z K B y G Y F e D m U q E 3 G Y j G n G K H I o h x I 8 y j s p g 1 m D E 8 E P a X q A o o + A 1 5 x u Z a + C T P x C N k A I o 9 F p C 2 g G M 8 G o r J 4 + B u u D + C J 5 4 j n 2 i O U V d + Y 4 L h z x E 9 C z 5 M m N E R 2 y J / Q J S b r 5 t M 1 j y R L b 4 o l k G x P Y q E z + Y D 5 1 L a c U p X n q j D A p N C h G k b y x I J I G G e q j m v t B Y a i b Z B 6 L n f H W 6 9 o g 8 a U F B s Q 2 z k H z 9 O v a M A E t o C B 5 6 5 g L 8 9 T e 3 0 f G T j 0 9 9 a W U z W 3 z + U e V d 2 7 Q R D A S Y S I i 0 a H F u 6 L h 8 K j R b S v 2 5 2 s W L 8 k v 3 H t d R 9 C s L r M D / P I Y H p c D o Z 3 c h d n I e Z n R H V w W u B G V O t 3 + Q 3 + Z F / K s 2 w d g 1 A R O s 6 Z w g g e F E 9 D X Z H i q Y p 2 u b G t a s n y a + c g e L a 0 Q / p o 0 X C / c U D y n / f R m g b 6 o z J W i u v r C n G 3 q Q t 8 k Q 5 o d u S 5 h Y C R L + R h g F M C C i f W S 6 8 5 o G V E B 2 c z W V V o N m 3 q D I R P h K g o q z w B u n g A h T L 8 M E D K h I g e t T F 3 E n s c Z c g A w v b g h O P l P v F i 6 k N X v 9 W Y r F q e 0 c / s B 8 d 1 e z 5 g R j U + z 4 0 o U s 8 N f j J i N 1 t G Q 8 J 5 l A 4 u B 6 Y 1 n / z T O 4 a Q B n P U 2 c w g F r i / F o d 7 c 6 2 C i E K p t T C J T 9 I w B R E C r N h I 7 O x 4 c P A w B l j o w 3 i d 5 2 O D H 5 1 r A U I 1 b t E C C 6 j e C 1 + j 7 T p 3 P s g 2 g t m p R G q 6 d S 3 R W Z W / f s g B B v T y m h f C I 3 D k E b U / p F W c m x X 6 6 X V W 5 t N P w h T E 8 2 E f 4 u v i 0 + 1 q S k e A J U R b c P k y 1 Z y Y o 8 P + / b R U V M O O g 5 w y Q d i / + q L i Q 1 f / d K q / c + s 2 t i z R + 2 y / d E T a R L 8 j V z D Y g o w 3 g M Q i x E 1 w L O J O A 0 w 8 G H Q k G g n g F V K J A q t K s e c f c b p U M Z a W K f U l N Y q O 9 D J A 5 8 n + k a R Y J 5 M c W 4 H g Q D p s u D 9 8 O 9 b E X V X U f 1 z P h 1 b Q 6 a q d J V r F R 8 Q 1 k X M L q K f 2 3 y h 2 w i L I X 7 S J s i O N 0 w / d R o B n Y Y A d R u Y A d Q r 9 R E B K C K 6 + e G T S J v h + A E S 7 Y 7 R h A T 6 4 s s v 7 S 9 + / r n 9 4 s s L O x 0 s L F W P M t U F g j m r 0 g Y e + d v Q e t y G O b A p P M 2 z m w 7 8 C m Y 0 d 2 W 6 9 X R 4 X j q P S f d q 7 I b j G 8 9 w D / f y H N / j e W Z 2 D O c l d X p 4 n n N b i f L r f v w 2 g h + Y j 9 8 m w d C R w S G A E o c G m K 1 C 5 J J F i u x k R D A A X y m u i k X g I G T u S w g V D g a V 6 Z M i m C D a q F Z p e I D i N k J 5 k Q b + M x b N p p Z 9 0 F A F + t n T t U 1 k A n z + c m C L 0 a k 6 Q 7 p A Z t 5 a p l Z S l j m y 9 6 n t d Z r 2 p J f a p 1 L 7 b X z o Q s s i b T n g 5 d v 4 O R J j Y P / 2 h d l P n x A k C e e Y W z c Z T w X a q u 1 3 a y 7 F q y p L 0 F D B z 4 A J Y V L C / H k N h V C A W e l 0 l h V s L Y L u Q Z K c i F m Z Q I w W Q P L y T C Y / 3 p n w D W F i G J E h g / g b J i d v p D z f u T a a z F w g Y P Y h X N B I 1 A + w e 5 3 0 n Y F v f J d Y X + q J O c a 9 + b m W 9 y b y H 1 1 a Z 3 / P A X Y b A Z h t d z w A K k f 4 T B / 3 U 2 f s w S y x F 2 d M o g x j M e t S 1 a b r h i W l m g 8 K w y B / u F + y A w G r q K n o e C b U 0 t l x O X g k b + y s x f P 9 F p d X O K O J C N m y 1 3 l D D 0 + W N X s p y f 2 0 t 7 Z e b e 6 R s G j r R + D m i W d Z 3 g C D E W 7 P 5 3 + D C E q o M D O l g b m J N g B U 0 Y 1 A c 5 H G L k J h E 1 H / X 7 4 K w o E x H O q H K b d t J s J 0 v p b Z P b N 2 u y X A X D c q p t Z r l Y 9 B V 4 Q E g C L A w I b 9 1 J 9 Z K s / w a b L 7 3 4 q U z l I F X Z f X 1 l T + u 1 A M 4 b O S t 0 K d d O 6 6 1 A / k D O C h U L X M v n y k P / m k b v / g x 1 3 7 h 3 / U t 3 / 0 0 4 7 9 v U + q 7 q 9 g g h G 0 w A z B q c 7 w c U U w o a + j 0 i e z x 2 E I 9 m X A + c a / 8 p c I 6 D v S F 4 Z A + j o w s u c h 0 u A 6 E p 2 R e M p 2 P m W l 8 U 2 2 K T I m H Y w f x w r h O y U 2 K / K U X l P M 4 H s C q s z w M U C i T O Q b y 7 Y r e f 4 6 Y L a / f R 3 M O B q I 8 s N 4 s X 0 3 0 T I t 2 5 x I S y F D y o Q G Y g E n / q U H B 9 R + C D X q y X n S v 0 8 5 n b i f Q + n x W W 3 U b C n H L f V X u 3 D D d q K O D F s w A 8 W 3 L l D + 0 F 1 N / k E R H c J + E 4 A A o t 9 R / 2 g N T K D H e 0 x L S a 0 r D d V S Z 8 K A 2 2 x p l 6 T q f B i S z T 2 I N s F k A A R t 4 E f W G U x t g Y n z R K S P M T I G n N l o B k 3 n a 7 b K 0 i i S 5 I x V b W I g H H l W j j I + h T a 4 l S / o f Q 7 l D Z N z k C a g p 3 w A A E I Q w E B 5 / y c S p w A R h H C 5 U J 0 A E f 4 P W h f J j W a i 7 g g S w L C J y J e 3 V 4 R x q u x k j h B Q g J 5 t w N h k k r 0 d e M s G Q G N / C y w C y r i V K C j X O W h r j v h b + X L Q 1 8 y H Z N p T N I c p 1 y a w I r R 4 F E 1 J G J 2 + 5 J 4 H Q B U I x x y H f h P R s O x C S 8 c x n Z / G 3 B S Y i I R / g B S F Q W E q Q r Z o O D S H d 1 D W W f g D d B B g u 9 F x 4 m C S 5 3 4 2 Z m w 3 C I h U B a i F O n H l w M / f z r O U D X A i A J h G t N X c i 8 S c Q z E T z / I c 9 Q e M z K z w y F q m E b h 2 o 2 w Z A T J m l x D 5 Q j g w X x H i 2 R 8 + D j M M E A b U H Y B v A g s E 4 G h L d j X K v y Q h E v V B Q F E f 2 o N 0 + E 0 5 E T p o M V 8 0 m d 0 f Q K O b l K 5 / k i Q X 8 3 W g L N 7 A O u m H / g m h y 9 V c t + m 3 n q U o C A h 8 v E g k w X n K A d C Z r Y K 2 o u 1 J 7 j 1 T v s T f T Y K h N h G S u N t I g 3 R C m n L f l n s h G B C G I + o H g 0 E 4 5 G g 2 p C v L 5 V l n B c i Y T Y 4 P 5 w Q z q A M T Z c h A / h T p p 3 N l c Q A z q l u N s l V L S 4 H q 5 v b E M B k g x q e A 8 d y 8 y q 5 t J W c q p S P N 5 l J e 5 Y V J 3 G T V N W d k l R 2 N G / 2 7 P M F A L j R U T j R U X P Z C f Z l k S h C B 8 v g S c l 3 b l A b M S T 3 Q i P i M z C j f R G + A U W X F a q 2 q E r L Q f T u 1 R P V g E R q L j c / V P i z w d H B Q U D R u / u B c I U 3 e m F h K y g 4 q r q l p X H D S b 5 F 4 B C H I O c p E P R F 4 n C P J 9 0 r F O n 8 X y T e S z B H S G Q k F c y G V Y B A Y o 0 y D w v x 0 I o x 9 8 z F n E h x w G D I y E s / D c D A h 5 + g Q A I b 0 d o 2 X S d Z U z y F Y z 6 S 1 F h n T 2 E J m y V K w k o 1 f S Z c e H C k y K O n G N 1 v s S g x O A 9 g m Z d F z + Q 3 7 I Q c W 9 + h v q U o x G y M S 1 x g o R T h 4 B E 6 A j h G 4 m A S / o 2 b Z R C z E L A k E V V W 4 m t R 8 5 o K 3 J 2 3 B J w c Y Q 0 v Q 1 n z n k x f L 4 V O q P I x 1 z 1 W s Y 2 n L i f r v X N d T X e I 8 g 9 e 7 M i Z m H 3 P 7 l u u V n m c 6 l d p D z 9 c K z y N g W M 6 D M K B + P h i v e 7 Z U 8 e 0 J h / 2 7 T L D K K H v r Y S Q a D O 1 B E O J v X o U x H l 6 P U x N D m x r S B 0 a z T s b f i M + C S 6 R 2 3 j + i 0 f P S D o o M e M V E m B + c 4 1 6 l z Q L R q j S j k R / X d H 4 l e 6 + x X l s 5 l 3 Y k Q L y N e Y t E W c f S g C O V u 6 R 8 r s q S o + l i b f / m / / r K / u v / + f + z f / 6 / / n v 7 + d f i 2 h x R J w Q C 5 m E u O H e D t n K F 8 m f Y Y M 3 a s Z q 4 p 0 7 b 6 3 t s C 6 S K f l 5 p F d q a T 9 r d 2 1 + H z m E u N p Q / s 4 f w I d m X D z N 7 1 3 b I E 9 u z V V m R u 1 C H k x d p 0 L / 5 g z K p a P i F R C C j p f A W 2 X 2 / y R k M M 0 v g i I r K t Z E + M W t 6 6 s A f 7 K U + 4 d L 9 J z i F T 3 U m k n 6 l B p 6 o H 0 g D q Y z 0 R r u R L m u l c N T z 9 v g V u f R V Y l k H k i z M z R i T r w C G s r y a 3 Z a 1 9 9 o 2 n Y 9 s y f w a 5 e c M e E + i e m g m s t y T h g E Q m 4 i y X 0 6 W 9 j d f D + 3 n L 4 Z 2 M V 7 6 s 0 W i e P c h g g l L l R 0 Q Y g 4 S w K B + Z a E g B W C U B 8 B w P r Y z B 9 / z R 0 b 4 M m h K L A A K W N T e t 1 G Y A h a O d b K W C b z w 9 V g O b v K k L E o v T D U T i T 9 q a r t D a X S 0 M k I F i p c f K E e M m / z 6 J O x 9 H s O h t O u h A P J n H 8 n v Y c w D C V n o M M 7 1 B I C 6 W p W 3 Y L j j q n u q M L v S 7 O h 7 R d L N 7 X z S R d L x X R r R C S 2 E B C 5 Q 7 K x r k i / V a F q n 3 7 P Z e i y X Q Z y J 6 U M + S m I j t 2 8 g / D N c h b K Y g i z e y C Y j N u v / 9 H H b n h 8 0 7 b B X E 9 B 1 5 4 5 5 b C P a F Q W A B q 6 R f y 7 z s L v R J q m z A 6 l c w r t b E 3 n / M p K D R h 3 D p F g m E a 9 W K 5 9 x z t S j 0 f D S h p e X v m S F v i u 5 r Z g j / S R t 7 y P K r P 5 G a N Z 0 7 1 L t i I B 4 G N j d Q P g y f / g o L D S 8 m q + l R s N x r 0 i S 3 k W A b + 5 a g z e 8 s 0 R A 7 S / z g 4 Y m G o b 9 j Y + D Q x 1 M P B 2 F v o N Y O s G y g v y y d j q a 4 A g 8 j e k I 4 7 G y t t 3 a U z J K i E R J l / Q o + G 0 i E 0 B D e g x t f J t E R 0 O 9 k E P X b l T k o z X V L m 8 v i 6 k D L x L x A V G 1 Q 5 F 4 d Q / b o n V 7 8 v b v S Q D 1 5 8 d h r 8 N 9 m e X M 1 c c n j u u 2 w h H 8 Q I D F b 1 / x K 1 s x v i 5 I C s o m s o F n 6 d y O + m w B k C U u I m i D L 1 0 k n q F O D x p q A / l 4 i v w k G O y q 7 W h I G H 9 X U s u u 1 V m 4 A K 8 F R H D D c E d H 5 g g r e l 3 4 c Y A V P k W 6 3 c P H A A Z M F A l T E Z s d s 9 H H P 3 W O 5 e m s O J 3 N x / J D Z I p l 4 V / 3 y A E M h 9 K 7 0 l 5 5 o v d 1 n 2 u L C K 4 t 1 G / X 7 E 8 + 6 d l n 0 l T v A i b q u F Y 9 i J B W r u X E D W I 9 V 1 i e v i s F w K B t l r I h e 5 W p T Q T I w Y h t w R a 2 l N B B 8 H A E A N F m M p s 7 X Q c t i x o 5 F 6 c c 0 U w + U 1 9 f 5 l I 7 + S D M J j B B B K j q R D G z 3 w + U I w I Q T W k W H N p c W w Z E i G A + 9 o D Y Z F J A 9 A s R I C J u P i V F 3 w E D 4 1 H 4 Z p 5 m x u A M y h O 0 c B A L L L 5 Z v w A T f L j r z G F 6 5 u 6 x 4 J F 7 8 2 B n w x J m S b N I D 2 2 1 h G M j s K C Y H 2 Y h C I 9 E 7 0 v k I n X J + 0 Z d 3 4 G u k o n 5 6 s B X I / 9 E R Y M p Y b 5 r a X W T Y G w u w f y R o n b B T A N s b E r D e 4 i p r 7 + P m C X 0 A g x T i V m B 3 a 4 z k 6 W i 6 t b U P t K o 7 Y 4 D i O X 8 4 U V y r O X a X A B 8 1 1 a 9 I u F X 8 7 w A 6 i 6 E x U C T P l C O a O J u d W a d 6 t x m k k 6 z h S Q f T E F L Z e 1 P N 9 P G a J N t o M L R h u n h C e a x E V Y l + k Y U E O a F G O 8 C O K T v y 9 9 1 j p F / z E E 0 E B v V x y 6 H 6 S F C 7 B y k l S d e z M Y L r y H 8 A y f K D K i 4 l 4 N B F W y 7 7 L K T N B S 3 U S 6 m 8 7 w r k T y C w 3 1 P g i x k p / p 5 p F P 5 I 8 l 9 W 7 s I 9 i 3 E M n 6 2 C 8 P s H Q 0 H N h 4 O Z Y a N f L s 0 6 o c G q U r y + a p g 9 p z I D u Y 5 1 h s t + Z U t m W w N t X E w 4 + 5 F u p 0 Z G y x 2 r M s + 5 y U F e X D f R g + A K h D N x v 7 m X 1 8 k 9 q v j u b 0 8 H b j T y j t e U 3 d 6 x M x i B q J 3 M P + 2 M D G d A h M x K E u g C o 3 l 8 9 H 0 L D 4 E i o L g B 9 K a k D M h X v Y s Y I y L q J H f l z E j B I D Y 8 J K B Y O 4 r 5 g v T Y C q x k t Z X E B e J U / E Z q s G R A Q j J y h j S p s f u Q y T J d m W X 0 q K y Q J W n z i h P N L R H R P k E 2 D v k A z g w 0 R g T Q r u 0 O j r a Y a c j A j L M u P f 9 K A C S Q B W W 2 K v u t I P S x 7 r A K m C W Q 3 7 Y Y m e i v C o + + 1 1 4 E I N O 2 4 F 4 7 I E K l J Q a 9 u y g Z Z 8 9 6 c o p b d t o M r W z s 3 M 7 H S G p A j 9 g F t B x 2 3 g D B l q K e c 7 E Y C M x F 2 s F y 7 O S 9 f V E R 8 e Z T L t g W u h e G E D 3 + s A x D C d C o z W F I l 5 R 6 X l m 1 / z Y 0 m t I U c x E G G s j 5 Q s L m D B h h X b S R i s S j H k b g t e Y Z Q G Q S q r v k Y R C S w C N o W b A f z U L Z E e C k X k Y 3 + Z q y T 1 H B p r b t A 6 X m H 1 C + B z N z 7 Q g h N O 9 i O Q l 9 c g v B D T u B h Q W y 5 a u + b A J x o b B f B + C Z t 3 2 + / t W Z 6 u p p c z A 3 c x p J z Q N b w + v K Z 2 V v q c t d U o j s a U 6 Z y h T k o 4 q H i H y F A 6 W a L B K l 2 2 4 M P n u 4 g n u x Y 8 I G 6 V s I S 6 R E I c P F H N S F M / d R h u u R 0 u o o q p 1 1 H D s O M b x r t o O H 2 d X 3 2 U T A S p m f C C Y i u / h 3 Y m 8 / H p I g o e y 3 G X y q d t c G z 4 A q k C 0 I 1 o D P 4 V O 8 S k m O l q y 1 5 j u 0 y o I / + A o 6 9 g i w J r V V A C V L z a b 2 0 S i c i p t t 1 6 N r G 1 D W 0 w H P v b h x 0 j f 8 R e y A 9 + B t U G 8 B e L l 5 d o H h R n D v Y 2 Q p r 4 v t z s w W 4 g K Y m + i n U i P W / n E 3 2 E j d n g 4 z z t 8 p 2 6 c j 2 N d H J z X w S A 2 w w m Y t K 6 F S J v 7 S O 9 t T K 2 M 0 E C s i d r V d y k S f U c / O p B 0 8 P s + J N f S 1 u p r q l q r N h z c t 5 W F p f p u s T y M Q 7 1 J r L H 5 j z 8 J i w g j 8 c K A 4 1 e X 9 q j X t q o c H M Y 2 w u b z 0 j j 6 z s r a r h 6 Q p 6 V z a n y d c 3 7 S Z y q t w e b z F T k Q N Z w I m X J V o X S z Z R a 6 I / b d U C B c L l b W k N h f p V X 3 t b b x B h E w B i j x K / A v S C t u a X Z F E R z F v L m N P C N Y Y i Z 8 B y T e F v r B 9 Y y 4 R M S R K h E P u c G 0 3 A d Q N 4 w z 7 U p h 5 9 q m j x P d l 1 g 2 w 5 Q g / F R Z 7 j 6 m e B + i / X 2 8 T 9 8 5 J p O h + 3 G 3 7 c j E M 9 u v f q A E U z C F B b P v J p U s l e 0 2 l 5 q Y T 6 U 5 d P B u o N i I y V J a a D q V d t F 5 3 b N E o o n B 2 c y x 1 e 1 Y f 7 9 n 3 b 2 2 N d o N A b U q b S c / Q J K 8 J G a N P k E 4 C O e G j R 4 5 e m 0 5 5 d K O b G J J k c h P G L 0 C H J q R 3 1 A w F Z k w W 7 b 5 b C Y m G P t e f T e I R O I B q O L B b y r i 3 / U D D Y a Y 5 g J R l R i G x 7 X h 0 H 0 O J G n y N 8 A E k R b n s r K 9 L R F h u y 8 B J t 4 Z z I s Z m L 0 A x f b a l a g P l o n c N o + t q G c o T H Z 1 M / H M g 4 Y q E G q b F 1 y z d J w G o i O 8 g f S f + N M a z D G r I u J 1 r 0 e W G P k Q / w k 8 d D 6 O a U u a C j C 8 w W S R P E E R v M I B o 8 L I W w j N 8 / r s 0 h q d Q w 8 c 4 M d F 7 U m 4 m z L T + Y 2 y 8 p 9 O l L z M T H E C Z a c M R M m u i L y j h v q 2 x W n E w q a 6 q X A U J Z j M t F 3 0 I 7 M Q t Y 6 F h E G v t + f j R r s S w o X 1 W Q x J + K p j + T U s r 2 C L 6 x j w u T e p v Z a y a 9 l q 7 E Z b F o n 2 f g D U T S L y 9 m c y 9 w h P Q 4 w T s X C u p 8 4 g d C 0 L J I S A t 1 B k 4 p 2 I l u f A 5 0 A M A p I N z 4 7 c 7 J t b v b X n w Q l f j J d d i x u W E C L G L K 2 X E 4 E r l d 1 f u Z r C c + O V N J 6 f j m 8 R U N H X 8 J 1 q 5 V y s K w E w A M c F D 3 + 6 h f u I 4 p V V A f f / E E 4 6 H y N 4 D K o i m H j p 2 6 7 k 1 c u A z I J N 3 q + F E P L V v W p f g g e A 7 V 4 R T d 1 P X U b j S + v 1 9 7 O T O S J T 8 p R W f w B U g Z D 0 f / 8 P r v f 3 x q Q a S O J 1 1 B l E 6 3 Y G y 3 2 I H l A + T g U p C o M R s t / b 6 z r z c R t M A V E U N 0 n 0 y X 2 M t y C h 3 V Q R W G B i 3 s r R b M r U b E o S R P J Z 7 b q x k N d 2 C g D w b / r C A T B c o 8 g M w m c k E O L z 4 3 S w S S d j Y Z W K w K L S l V P 5 j P W q l W r X p m 1 I T E f u 9 9 X 5 j E h 3 N p l a p 5 d J t 3 t S B A 8 A 8 9 k o O h A 8 j J V 9 c i R Q q U 8 L W W 4 m y i k h N J 4 N r R 1 f 7 + M d E Q 7 q z O y U 2 V x m + Q O g b h J h 1 n / 4 a e p h c 7 W T m w z M y O 4 K Y M 1 3 c L D v J D q H K B s z z n O 0 E C e c X 1 z a 0 8 e H 2 Z n 7 E a D i x W k E N X z f c P J B Q 6 E N t 2 g o / C 8 0 W w j h M 7 a V y K w M Y z L B l B U I 9 B m 0 i 8 7 p N x t v n o z l u 0 n b M j M E z X n F q 0 h v j l v y 3 E S J N O z o c m S 9 z v 7 1 3 M d 3 0 K p M T G a W C v t l 8 N Y S + p g B b Q b c t 1 L s D r X Z Y s k O W L y A r 6 n q r A X M q c 2 X M 2 8 P J j E 3 J b Q e A F U g Z i r 8 f Q G K w V N s 8 B d n Z n v V k m z 5 1 D v h W y U 0 B w G A j B N h 5 v O L g b W F 5 G Y r p 2 H u S Q Q m J u O h z J U D D 4 I 4 k 8 D c V x w f C A E y W 4 Z d V D v i M l 5 c d h + K A R L a D i F + R e Q H o C D y v Y u 4 H 8 m / Y A n 7 x J m 1 y l w l j z b q Y t S s 3 A c V 6 n G D s n u 8 b u p P z D 5 O Y T a P 9 J v o n 5 e V k / G T w 4 M y 2 c n s 3 E x l G Y z O J Z g a E i Q 1 L x c v Z c h r 1 n f A + / e P a B b 2 K 4 8 z E X B i 9 8 R T e 5 3 f A Z g g z D A Y T x / 0 5 X w h U y q V 9 M s Y G 7 M F R o B p 7 0 N o E U Q 8 W m f N L F W e j 0 e O G A Y 4 k Q g / n 6 Q + m A y g I c L H m / I s n s P M x N y 8 A S a I 3 7 Q p 9 6 M h i x T P U 3 c O N K g + S w 2 Z j T I V C Q g 4 E A F T / r 7 8 w X n S i Q e / i f C R V h Z N b a k c J Q E l 0 W 9 W 2 Z c B D c 9 i G f g Y X P Z b H 5 5 X X Z 8 M f m M 1 M K N E d W D 6 0 9 7 + o f z S P Q d W 0 U x 9 A F S O Z M V 4 y B x C 2 u L U E l G j j e m j b 5 3 o m 6 y T F z L + L 0 d z 4 U A S U H / w N u V h N j p j P 0 U 6 H y / t 3 3 4 + s L / Q c X z J r j 3 X h J n W l R 9 C O H 6 5 W v i c x E T p r + Y h 1 M + E U 8 D m 7 6 6 t z O 2 g u V K O K w c M f s e X 5 y H v P D n g s 5 D 0 T g S n U T 9 n 8 O z g + c j 0 a J 8 I F u 7 D D N M z D D v I 9 t S P 8 P s K m N w T 0 + S y p 5 F 9 j w c X u Y 6 g Q v M j l w S Q l c C C M T B S B a c 6 v d L 1 J C 6 n z / L 1 5 / K k c 3 U 5 0 b 7 p q X y 7 b c S j D 5 Q R f c e m j 5 F g 3 L U 6 G n D 9 T h B F b 9 D 5 y m 8 + W X k 4 v M 2 6 d P h C B 1 8 p 4 y b 6 z a u x / f f / + y / t f / g / / t b + 7 1 + e X W m X S I C K 9 8 4 y 4 X Q 6 H 8 v 8 m b h p l 8 y D n 7 R c p T Z Y V M V s P a v K 1 y L A w K A o c / R Y u c y c O G + H S C o P A u h e 5 P f r Q Y q W T 4 s 2 j 8 y M Q M u Z o w g T / v f 6 8 J V 7 u U 5 a 3 l 4 6 e C 6 e y 9 9 D m v F 8 j j D 7 / L 2 / O s / + g b 5 c R s A u N N l N U r o k z R K Q 2 / Z A L 2 T 1 Y R N O K k E J C G Y m t N q W 5 K I D 3 j B j v i 2 K z J A u j K X n T S J j f i E w w r Y d Y T H R / v K r g R + v 0 V A b m I M 1 U 8 w 6 k D H n 7 0 N q d F r W a n R 8 g W K n 0 7 F u t y 0 p X B V w x d V 6 n j Q x d d n v n H m N + S Q p U 3 4 m y U 7 E Q y w h i S C I x y 1 c 6 D P n 1 f i E 3 G 8 l 0 o j H D k Q b P l J b s u 0 Z U U B m V e A z 3 w W q u 2 j H 7 L / / R F v x f i i 3 M P S d C Z V I a N 5 s u O u A I J 2 B y f V X X w 3 t x f l M t v 9 t v X M L q Q w 1 O S M r e d H M / 4 v L D + A t I l K b t F S / X b X / 9 K e H 9 p / 8 + M C e 7 7 c 2 9 n 0 c 0 0 H K u k N d k w + Q 3 U m a M B f A A c i 0 A g K F Z e p I c + Y 2 v j l 7 5 J 7 E 8 8 y + 4 H P H t M L U K d 5 1 f B / 7 8 m 5 y j a / 6 U S 9 / G b U 6 7 8 X Z w o 6 l s n j 5 G + / r w o c d T 6 Y + 4 8 Q X M k 5 G t p x w L a 9 e b 9 J D l C 8 j m J U B X U b V I c A B H k o C F n P u P G x 7 B 1 3 K b v i v / s f / 1 + b y 4 m H u / + 6 / + J F 9 c v h 2 0 T n e W T S X y B w s V z L B 2 m L q 2 z m Q Q d 0 5 g y 4 i A I E g u J P o e X w j i p i 7 H f N q P B r Y u t K z 4 2 H Z G Q 6 w 0 U b v T D j / O P z 3 S I s X W s P E + Z d L v w t R P z Q e I F 3 O 5 z 7 x F X + x R j R R G n y 1 k D C U 2 p J 4 t a 6 0 u G 8 P 7 U + W b D w c W a J r 7 V 5 Y / V u s x w Z Z 9 2 E S / I f U A k h o B C J b C O q K T u 5 q 7 h F I G M / W O t R B 6 q G d m H o b q R O J y H W l q Q 7 a d 6 f D L A M 2 U O H Y O V 9 u Q 1 A A r A I x U E t b M F P k b S K L W w m T 7 2 2 U z T 3 z B z Q c A J E Z I 7 z J h B n 8 F 2 c n d n 7 6 W s A Y + H 3 t b s 8 O j h 7 Z 0 a N H t t f r W V s g 2 e s f 2 O H h k R 0 d 7 v v Y U l j I G B Y z 9 g / 2 L a n W 7 e x i K q D L / / R U r u k B U B n x w m o Y 5 1 z O N 5 E 0 v n v k C K 4 q 8 C e n f P R d o M s z G i H U P / t s z / 7 8 s 7 7 9 6 F l H / t e O t u I G Y j n 6 + Z T B w 7 L v w / C t E X U r u C c e C t Y / z C H e i I + v s c l v 2 0 a 0 z 1 Z y C 0 6 J E 2 b b k T B V O T w w k a M r w L i 2 W f l 4 W 9 h v Y u I m 2 u D y 3 I a D C z f Z e B K N 0 j 8 4 s s N H T / R 5 6 N s G M O d x E 9 E G x Z A 4 x I B 2 Z 6 8 n H 7 R u c 0 m b o i X 6 Y P K J M G U + O U j t p 0 8 F E I E E Q L G x z 2 N Z G L 7 E o t D m g M m j Q v p O o I A l 8 X n C / O K o y T H Z 0 C d 3 E t E 0 I o y s k 2 o 3 O 9 a p y N g n r A u R 3 l u k u Z W w E m F u x l p y 6 T J l q d v d c 0 a + D 6 H Z c e 6 R J b f O Q J j r I K K 3 Q 1 1 c w 8 j s I 6 j C T H o H l p 7 D C m B C s s 8 R T M O r v e P K X l b 8 U v Y 3 l q + 8 B y J 7 X s o 3 H 8 + s 0 2 5 Z v c W + F e H a + 8 / t O 0 Y 0 B L u W x s m S g I P R c x o m p d c 2 t B B B C q Q 3 f k U R T B D m V 1 0 i / T Y w 0 S k A s y B 0 / T e 7 z h L K R U t O d M y Z O O v j U x z c F O 5 9 r 5 R L M 2 j d L F R 9 D + J u y s 7 r e S j / r Y R Z W t C M 2 w i t w N x B d j b C 7 0 E T A T J y Z D M X g i x 7 e / s + C d h 3 N n L N A 5 N / O + x N v z Z Z U d C o y 7 y f C + z B P I Y + e E B h y j z L t l a O 0 b M 6 0 R / 5 m 6 6 d b g H F f Q n N A 8 P x H l k G S / n M 4 g h X B D M j 4 b m X s D S r T o f 6 v R S o 1 g 4 s 3 Q S w 3 g f B B M w O I E i Q 4 w S A 7 q / t u S t U v Y G Y K e F R Q b X f r U S e s R 6 U I x 4 b y D U N W k d + j G 8 H 1 u 3 6 J 8 C J m u h 3 T Q Q q e p 2 6 D 7 M Q p I j 0 w Q M K p m U z D 8 y T y K Y I T 8 6 H l U 5 3 k / O C / g M M t z 2 B x n l x C Z B K f i / M h 7 m Z J 9 K J W h P t R z n Y m 4 J J u m g r N z 8 J P 9 6 f 1 9 8 k C s t B m i L K B O A 9 C K G T m F T 3 I a r C T B M m n D J l a y f C 3 M Q P I f r H d + q 4 g Z i A u 8 m n + X 0 R J c E S q a m T m F 3 v f a K y f 9 C A g p k P 2 m F m + Q 1 S 2 7 A 3 u Z t Z B c L H Y g k A r B b Z j Z k x j F l 9 c R q Y c R v 5 w K z 8 M t 7 j y / u E e G d S 0 d m H Z x g L A u Q I 3 m B e B E Z l V H + s 9 H n V j T P e L X n d R u C E 6 J 3 P o K n I D 1 E e T B T l r R W / P g m z I v q 8 w 8 V 3 p 7 w / 7 c z 3 + e k + / q l D b b m e h R n h 7 J B 7 Z U p J Q 3 m y 8 c T v m W h D D h Y / r p O F z a e S R B I K H 7 y G A l R v 9 D 8 n a J k N j I H T f S p T 7 Z U 0 D a + / p F F h f E D J m / p u m 9 / G f f 5 C M t 2 3 S T t B m J 3 4 c 3 m g c R t O P u Y f o O I l 0 8 6 E g F 5 A c A n P 9 x 0 I w P / m p G S / e i W N N w 0 F 4 H / W B j G 1 C a 3 I l t P M o e M t F O + b E O Q U 3 4 m M 8 w d 1 V r 1 o Y / g z 7 5 8 S j E B j 5 n f T / X 0 R Y O c F 2 i / k K 4 4 X Z Q m 8 j k 2 n M 9 W L R S w f M A G G O A H 2 B t F n H P g s B a K T n 2 d T c W C O O I s B I j 1 W 9 / I Z D / 2 7 Q e w M t A l I d x G B E I I l b H b p 0 f i M + X y a E u m 5 y a T P L c A i a s i B u V 9 X q T 7 t S Q h I O 7 s P p f M A + U B 1 + v T I 7 K n y Y X B 4 v e V N g m 9 L + I b H Y k S E T r F d r k j F a U g 4 f U z 5 9 B m 1 H R r q a n n 8 7 4 H o a 7 b C f h W G r 7 w f e O c x 7 T l b l q 1 c r d o s m T 9 o K L T G R g a n 3 z a c h x m Y M I q G g c H x c S L x H i c 0 E C B D i r E P u T P P e + I B i g O w Y v D k S q p T B s L e f I 9 L E M g z O w h w + E a U A r u U k D 3 r y C / T 4 a / k w e z i G R F 1 i v M W c f T f t z Y g N d q G f e H z g u g N U j 1 8 3 V Y O z 1 4 e 2 d u 7 b D j 5 v o n 2 Y 8 O X K N T w t 5 1 v d L T V X l y f V 9 q + k Q 5 d I G K 7 q X B A u z r j 3 w d y k y / w 0 0 3 y 3 t c F z K l c c / B + o F / J z z i R u U d D 5 g l G j 5 N X a X x W r b o 2 2 Z T + t 0 E A i + h Z t g R k q b K O B S R e s 8 L L w e o q L 2 U u I f k p F w Q H b N D E B A D e R p P e R p i y b C 2 Q F 0 I b i X w B e g 5 0 v 8 + A B A E h h I 1 P v w J E S C V I b V m T 0 O H F E o 9 6 A D 4 0 p 4 g x h 3 A 4 q F R 2 Q P U h A I v 1 P t j s N 4 i + c 3 N K 9 a c J c h 3 b V W N 2 6 y X f 3 n e b l K X R Y + R w 2 4 u / v j W i R y m 3 G I B g A 9 g C P L w I D o D L M n G w 3 + T P G z + c Y O D 3 b V 3 R D k w 6 Z m Y 3 Q Z F b y T m T C v g v p 6 t B 3 d 8 h w R u U G / 8 V A e M K c p V a O t e x 4 B 2 8 q T V a D C i L Z V r N C K h r i s A K c H q z o b 9 v R M R u P F n a Y h F e W x L s d O Z o B a Z 0 q Q 9 w s o 5 F U j 3 f R y L l T K 8 C 0 W o 0 / l b t 9 2 0 T e e q I 4 2 k s w S g B J P 3 2 t y n m B Q H 8 W e B R f B 3 C 5 2 t E b o 7 w w f A 5 3 x B A O x L t Q f A D r R 2 X y W w l 6 u B j V e E n V J E D y u 5 D 9 0 H 6 7 n c G A r D x o A i 8 p q q l V O q q d D r T w R a x S p Q x 4 1 J V W r x R 9 u 9 Q r 9 t 6 m H r E l l s / O l r Y 4 4 6 Q J Q Y K g 5 k 0 i Z p T / + h A N q T k v a + 8 z D g 0 V h g T I R K W S i b x 2 h l e Q o Z m S i S M 4 r K P l r + A W X e H p O 5 N w + G l z 7 B m M 5 T 3 Q h Q e f k D C s p A R R l D 9 U o E n l Y m F I G E K z 8 v L x B c c 9 s p D e / r s m T 8 K I a k R Q I C h G O 6 / l a J A Q l D r k 9 A / Z p O 3 J u k g u D Y 1 E M / h 3 2 U b 1 z B L g j e h M K h 7 l w m I U G B / P i w F D 2 4 o 7 x B i 1 C e P Y o n F f D n F Z 5 5 0 e S 0 t t F q k V m E p / l U Z 1 f e U u X h / R t 8 K o N B t 3 x X t h s b 5 8 W P G h d i D n H I X S e c Y c P S F c f o u B o T p p p J U w 1 l q 1 V J i F 5 P E j l o r M R n n U 7 u U F K c j 6 + W 1 m y l M g c m n 6 w D T f 2 G u G e B U D 2 W d l a f 5 d O o z n X 1 P i A L d L K m + 8 w / N K g Q H 5 z 1 8 x r R v p A y o s h B k S c A v y y a s q C H Y H 4 / 7 T y c l t U t Z 2 m x o R 0 e P s o c C R Q G x l X T 9 i g A R g Q X O U Q U O s q U 8 p M F 5 v 6 4 f m Z l 6 g 3 h e A I 7 b O V M n Z o x 3 f C u v D N G k w Z E v k 7 4 T 8 e e F 2 O z Q W 1 H a a O h o j 3 F r s l T 7 z N U + r m X U B 4 z m c 4 H y C X h r x i b 0 u 9 K 6 1 k C 7 0 O 9 M Q 2 F r Y k r + X S S m y v x H z 9 N r Z z N P t A 6 A Y t A x 1 7 B I a 5 x V T K O 4 O y k D t W i n b y 7 C Z N t k M Q x T / 9 m r + A 2 i P b K v N y i c h H n C p / + v Q 5 3 O 1 6 s m B I j Z 1 + u T T u F 8 y Q a X T H D t h U H R 3 M O U n V X c 8 C l y w s / H K K H I Z 9 L o 1 E Q a k r 0 o 7 p z a E 4 G D w x a K H Q q O j R f b L W S 9 m X i W P L k P U M X s S E v l j J N o a Z P L s z P b 6 x z o l g x 9 a B r x V d S u K z m 2 y / V M d V j Z f v / Q U u V / 2 9 t I U u W d T G X m C 2 C e C f + U d L k L k M i U f w L k r V L k m v 5 O m H y / b 7 A R v f l 7 H 8 v E 0 e c b R O s Q 7 a P j N l h e u B k E N m I 4 G z 5 y s 6 g i b T U d O a D C x v 2 / e 7 q 8 O H d A M F E 0 E u B n B g I C + a P 9 8 G k z S W k Y v 1 C / Y H J 2 f N H d F d E e 2 Q E w H S s A i o Q w I / N 0 n y 7 l 0 T j 5 F y L K x z m 1 J Q w N W A D u Y H T h e 8 X T H y v 5 v K y u Z V d d X o e 6 k p N X S Z l p X r e G O r W / 3 7 9 Z 9 q 1 E X s r 7 P u U V R S s A 4 n M 2 m / 3 d 8 a F + n 2 Y i Y w t / 8 t E W D Q X R Q n G J w 4 6 0 l K R k J 6 F W a 5 u G + v Z p c H H h 5 h H L H i I R 7 v / 5 N 6 G 1 / 1 j u E X v V w a t P Z K K y M 2 5 e G W F e M b X G N 8 i E q D 4 M r y P V f a c C Z 4 x o b r B K d y b X x h l z M v a V y P l n w i n n e b t J K t O Z x Z b M 3 G C z S f x c 3 2 R T m d f k 0 L G U v 1 F p W G U t s 5 U g Q Y 2 J v W x D P X W B s o 1 I X 7 m 5 y b s L h f K E c s X v g J p y U x b e r v i d C E r k w f a + g Y c m / / T Q 7 E f y o / C n N l I E V M H s u 4 0 u J 2 u X W E d 7 9 f c X V L g n X c r k Y / O V m L 9 4 w A H 1 i + O S r + f q S U D w P l w 0 6 5 / I V d q X Y K k K + 9 F C 8 j d + 6 B m 2 c n Z C G C P J p Y m w 0 p g x j 5 Z i E 5 f 8 N K E 8 w X h k z C e M h 2 l G 9 H C 1 D I w Y G J P 9 B 2 F U z L W F 3 9 M o t 4 O f t 5 Y v 1 + L 1 P z X X N u y F F 7 U O z y 7 X c y u t Z A D y L t 3 o C 4 l g d l 5 m z f 5 5 R X I Y C Z y Y c Y C 0 l n s d P V n y x g 6 m Y U X Q c F B W + I B n v U 4 i 1 l 4 V 9 + b 7 T g D q X Q g A g r + i S c k v K k 6 U 7 4 + e E g q / Z q Q 8 0 c C Q h G S g X S w I 0 f l 4 7 V s a P + 6 H N 7 T / P o j V q o C B p d s Q 4 e 7 X A 7 M v B I R L m X l o J s x t Z r P / 6 R O Z v r J M e a G 0 C w 3 V e z F Z O M N 2 2 p m U p x 2 D 0 + V R t N f D s C E m m 9 u 0 a w I E Q I E B M 6 m N m c Y + d h z x v b 9 o h E U y 1 b W l a 6 N u o + / 9 M F 0 O 5 Y K x U H D p + 6 A / 3 f s D e U l 1 K 8 8 r V u l u 1 y A E E J K F N E R N m q l 6 3 Y H k P x o O b a + f e 1 F C R g F Q M g + 9 s t f E M 5 P 5 2 r 4 5 W 9 h H / V B P w A u A O N B C L I m / j b 7 3 g L q L 6 t X U / v Q j d r 5 h k x O J b + 8 T O K p s C 0 m + y 2 n V m u q o f R 0 V a S j M / G r G H L f 5 q d O 5 7 H v Z 9 p 1 2 0 y X Z t 0 q x B 9 E g U J Y d K 3 7 j C 5 4 h h A N T o Z h Z / t u T k s 8 7 R A s w A P 0 j a Z m P O w w P 6 E b U k u q 2 U h 0 u x i e e R p T S S H Q A M 5 P j O J H W X k i D t K X p O v J 5 k N S E + a k v g o y F g V k o x d O b r U c 2 W 6 m N y w K A N A l a 6 W n 3 U w m 1 h s p 0 b s P 5 m d J X A X U z 5 w 4 a T 6 2 + b F u 5 c 9 M s A B A x X b Z r B l T l 1 s 1 7 K O s Y D Z U z + T x o k S y s X g m g Y N + M J R u 1 s G B R 9 W N t F S / O Y w I x 5 j 9 5 8 K b 5 u 4 I y t C t d g H J 8 A J Q Y i A g f O / u c j L 9 w i U y H 4 S R M 5 y 0 7 G + 1 b r 7 m w x 5 W a T e t T g Y n g h W w j G T 0 1 n a P j 5 6 u p N 7 p k q a Q e U 0 9 1 N d v f A P / j X o A C F P B K x o d 3 E p o T + 8 v v 5 7 + s O 5 X l e D p y J m H L M C R s m J s n o a C 6 / e K 4 b N 9 c 8 D 1 o 6 Z a O z / p r e y z B U t J 1 m K l c L 9 m X r / 5 W V l 7 w Y V x K E 1 o X f 5 F U Y i 0 x b k n t U b N O p e f n M D F p i 1 A c p Z J J H d p 0 v p r 4 w V A C G m m + n t o T A a p R a U t 4 T e x 8 + t L P x X o c N j + y V t K 3 c p M 8 Q z q A Y i 0 t V i u p T m i n m c r U V D 4 5 7 Q R R V n w o N A r l 4 T f A G c o v 9 J n r 0 p r s F 1 + t V G V B 8 C 6 t o I G 8 7 B s k J e 2 U W Z N v E N v F f X N Z 8 l c g V f 7 J P / 2 X / y o 7 / 8 E R I / a f H q U + c 7 g s z p w s B 5 K 4 U z V u I m C w e 5 C k u x y r x a p q y 1 n D X k 2 k / t X Y h 7 2 q T J u J D W Y n k q x n 6 u z U Z m K Q Z r 3 n n R X 6 A 7 M C S a x O w k n h X H a 4 h M 1 9 + j k B a T 0 Q 0 + r n m i k t n A a H 2 f X 8 4 f c s 5 X + I m W D 8 8 / V L S 8 p i M j Q R k T Z 1 8 H q 6 d k B 1 9 j p u Y o U 3 L k p Y S M O w g + y j L h r C D W K b S t P I j 7 d W W Q K j d u H + C j 7 J 3 M T 0 J W a F q j 1 0 Q 1 k H 2 1 u w k h l N V q l K q t c T 2 + 8 c q i 1 b n g 8 L 7 q q 6 C a a 8 4 V v o D x O r U W 1 L i L W s W q p J W 4 3 8 u U q p 6 p p r q t + 0 P c 8 R K O g 2 9 l W d Y J Z F 3 0 h Y M h v p E 8 0 E C A B b A U w Q a a B 1 X r 9 6 J S 0 k j U o E T u e 6 r P Z t t R x M b P Q P m B B 4 H N v A x P o w B o m Z c V J 0 C 4 b T 1 E 4 v 5 y 6 s 5 m t p 5 g 9 Z Q / E S r j / 9 K H W z j 0 a 4 n L 0 W S F 5 7 5 9 P x / d Z T / z 4 i D j 5 s 2 K U a / W l f n S 3 G u 5 y 9 c m k b S c a B Q P k j + 2 g / L I Q j + s N B p 9 F R 2 w h z A b d k d S m m 7 S O J d V K / k b w A q i Q t 4 Y W D S F j A 8 0 F J O U Q V S e a V 2 P 5 i + s o 1 4 2 F b t m t G S O + T r 0 + s d 9 A R 2 M f y j 4 5 0 V g n o + Z R I g s A 0 k 3 Y 7 m 5 b s Y m b 2 4 7 3 E q m L m Z T q z i i R N o 9 e 2 l 9 O / t a V M p D x J P C g V p S P G a 6 q N a g J H t 7 5 v o 8 l Q j H d u / V 7 f T a q 6 r v l 9 t 9 B r W Q S J N B + D t F f m t u p K b y C Y n v V + 4 p E 7 6 k I 7 J F M q L y D j U 9 2 e t B P t T z g d r f k u R B 8 x v o i v W Q Q U v u S X r 9 f W U T 0 e t w T K 7 P w H R w g i N F S Z 1 2 g K G G s 5 q Q 1 J S w j + X a x n Y s S R p C e S E g Y p 2 w 8 O y j 6 d C I k q g Z R J s 9 D C 5 V J T Y A y v 4 Y T Q T t A m i R e J I M F X J 9 J u 0 k z l t u 6 N v a F H m B H u U 4 T m S m s u A I m Z A F k y A Q x c L 0 k i T u x 0 8 r X K d 2 A 9 H X l C o u N X s C i v U e 3 p 3 r k A N L V F S Q n K Y q 3 s l 6 3 W X 9 i z R 0 v 7 4 + d r a x 1 J E K g M s 9 r I x s 1 z W 1 f U H r X A i B i z V Z N 2 s b Z 1 S n 3 r l 4 6 s b 0 f W q x 4 5 U B e r m Z t w R M u C n y I B F B s i I z Q P 5 j R t j S Z K 0 p W D i b b c q x + p X f c E z A P l e Q 3 E B D D r K + 9 k I p T O 9 K 8 K r 5 L c 3 q Q 3 C G D 6 + N U 7 E i D q F b U T 1 Z N A a u r L D y V k n z 9 W + 6 g N P 1 h A 0 d + T 5 V q O s D p Y z L D K w r W h t 7 w r d E h 6 S r v U i P S o N R k U 9 c i V m I E 9 D g L P i N n K D T F C 1 X 7 y h K l G n I u A y p i q w F y R u B W X u S K z h f G T P O E z l H C 0 S 5 L O m F l M g c H s k o O O z 4 D Z B e h h d r Q B 5 m m R 0 I 5 L M f e U F w M s Z P Y t Z t I E 7 B w U o n C T x a V N 0 6 G l 0 t A r C Z S 5 z q 1 l 6 i 1 X c 7 X N p Q O A 9 L s C U a 9 0 o M 8 9 g Y o Z 1 T C O y q Z q M b 9 O X p o d t J 5 I o w t k A k d H G u t q a l B G + E Z n 0 6 / l p 3 7 p B + Y 1 W o g g A Z I E M N X K 8 m m k a W l z S L V E I e n Z t S 1 R 4 w Q r O b E j R u j P N 2 Z J 6 F k E 1 a 5 p Q H Q f w s 9 7 U f 8 x q w I h t x b I A V W t T f + F f G 7 W + g O j y 0 l q L + W Y 1 8 o 9 M W V D t n 9 D n 9 e D m G i t q G n k V v h s 6 4 V s f S J S b q q o + e a L v t j r U I C c 6 / y p D W W r s 7 B w g l a R a b V e L m w p R i a k X C T c g r 2 W 8 s e s 2 0 A o N 0 w d 9 x / 4 J x A 5 C v 2 a f A S f 6 K b 8 X W O + m T 6 + m + 9 h 3 g h h c 4 i B U v e n Z A r V x c D 1 W t P T w p d Y y s c Z z f u 2 W v B 5 b h e j m r 7 3 X T s R c K F R E D R e M N K S T z a e n N t i O t F 9 c 4 + a 4 d d s o q A t C G 7 w 5 v z E h c G + T G r A 5 1 p L Q m 2 o 9 l u s p l Z K V O 6 k H T Q 0 m k n + 0 m q u 2 r J T q 7 4 n + E 8 6 7 i L 8 M A c l / i b P + W x x P S t A A A Z v M h 0 q l v f 3 1 Z E n / V 7 p m e k I v 1 R p A K T F 2 l 8 F h M w o 8 9 K p H I o + a E A t 1 1 U 7 H r Q F A h x f 9 g N v u A n T q q E 3 g g Z Y e t S J / d 9 K k t y c Z X b 5 I n S W G K t U W r j p B b M Q p D i f v F K a M 5 / j h 5 S e i g l e n o u B B L Q i + e T M H E j u Q z j B k 3 n Z R t N g l m 3 i Y 3 e 0 V Y Z W s + V l j Y S z P p 8 v J D w 6 8 o N i V E 4 a V 2 p v L f B U U 6 J 3 Y n 5 x 2 1 j g W s i v E g v p l / 5 K 8 t 2 k s U k P 8 D C L G 4 A k 0 l T J G o C / S W j 0 p c z C C D b a r l q q u 0 b C k B z P z 3 S c u 7 b D x K 0 v e d m B y r R S 4 6 j N m Y s o r 0 p u n 5 6 v q r l 0 G l D g W x W J Y Y B g K q t s D M Y r v Q U b V H A r T a B n w 5 I L + W Q C F W N Y f v B d B 8 E c N 6 / j o X N o I a L B A I i 8 S 3 q e O Y K b 6 I M G F D R b V e 3 1 q C L w h N / V t G 6 d a l + d T i R v o f N E / d Q 5 6 g z m r G F a 9 Z q P 3 O a H W e v y O U q l k Y d y n c p j 6 7 Z e W q M + d n N j K T v l m 3 F T D J V l k B G S D s n o Q Y d r X t + Z Y F K 4 o y d H G N o U + O A c k 0 Q 9 y p g R S 0 7 q d W Y d I L 1 T O x 1 / Z Z e L Y 3 1 L f E X t Y W t p 7 U b V T a + 9 1 s x 6 3 b F J Z N j E R j Y t 6 b s E i C 6 q z G E G v e 7 0 d B 1 g Y u a o 0 f M U x 3 / g a t e G a t t W 2 r P 1 U B p t W r L G v G M t a c b W c s / b Y l m R B i 1 P L K 2 r g V r S J N W F 2 l M C T 0 4 v E T 1 / + b X M 3 k Q a w 4 G F 9 p F v m Y x 1 r 6 w O N + m U j g / 2 6 t 5 1 W Y J L J l m c l g T X Y 6 I x L O B m N J 9 Z u q s y 9 V M 5 Y z 4 6 a s q r 0 V a 5 m Y m h 3 x X V n + E I Z 4 o C f f C A Y g b F q Q A 1 Z w K s O h w m p M M J 8 a p r B K i F w M I s A J l m z j s V M V 7 X w 7 5 c d y Z R K 3 K / m l s g Y 1 B S 5 k 8 6 c P O G C b c E P 6 b r r K n 1 y F q d P x y n N s d P K t r 4 O 1 J F + T / q 7 t t h Y d A z E l p j z V s k s p e D o a 0 A E S Z g u 9 O x d r s t J 5 + 6 9 P x A O P C y u U Z N P l Z J Z p e K x f F 8 7 y M 7 7 H 5 k B x 0 d 3 Y + t 3 3 m q d g g D x f n X 9 Q A U t B r + W Z 4 Q R s v Z y t q l f T u q f G I H 6 X N r L w + 8 T S / t 2 C 5 K x z a t D W 1 R n Y r x l x 4 M S a s C h 6 6 P 1 u d 2 t n g h E E + E Y d d Z W a r K j 6 C L Q O b m n / I A L P i Z Z f d n A n A 4 A F V e o F w R 9 Q M 0 S s c P 7 t d v Z p W U a w J u 9 p t j E 0 p i m m G W + j V t 7 o 0 P j H h z O a P j 7 E d e q c o p J g i B n n c K o J E A t 7 2 u 2 Q v m r + n S + V j m n M y h e q V t R + 1 P 7 J G O n s x F I o W P O n x / 5 K Y N 7 3 n 6 4 4 / M 2 l W B U v 4 L U p V 9 3 B q 9 m a 7 J r J K f 9 j a E I K g z K F k A J I y I 9 h I r C E B 1 M T P g K N l e f 8 + n 4 T A G 4 y a e m 3 k y B 2 t 7 r o k J S g A g t C p j Q + 1 6 3 9 N A u B D 0 Y O y o J q 1 V R X C o X q T J / X k C T J i T N 0 h N V 5 4 p L 7 U X P m q z 2 7 b u w b 7 8 t a k D Z p l O f c r R S l p o K T D X V O a + 2 g 5 h h R 8 3 W 4 8 l j E Z K e 3 F t 4 u k D g 0 B F s w p B G g H I X T y 4 m Y N y F c q 2 K / G m + 5 1 I + R A s w l z M g + o B U C L s Y 7 R I x c 0 m a S U 5 y f g o j E X h V w E M z H / 2 x E M w w U i r p G q T 2 V P 5 I E 8 9 I P F q 9 L l N V 0 P 6 2 s d 9 W J O D + U N g o i F Q N W o N W 7 H 1 q x J K m 0 Q X X 9 v F 7 I U t E 9 n 3 W y j 4 H N e d l a f j Q c n 9 t D y h l Y j O T Z c j L 2 S V i Z t 3 z C P E 1 J s u h g G I c t 5 9 f E v P t G X S w p P H o 9 / 6 t T x x X n p Z A A t c i 4 9 T q d Z c u v s 7 c X P E k v F F d W K X z W M 7 X 3 9 t r y d f 2 O n k S 1 s J E f 3 m E 7 8 H X x N f j n E t o n 2 A v F Y O W h B Q r + R Y U S e f L E s Q Q c 0 I m H b h 3 j h g G / 2 3 9 0 m u J Z t K O 4 s a L t T X D 4 A S l Q l N X 7 U E J h u d i b k n M 0 R m D N I S n u r I f D v o c D 9 z v c r 6 z q 6 h I 4 H j 1 J k u j r M Q B R y M z 2 w 6 G g d n V y Z e e V W T J K 7 a U v Y 6 / h k m G w e z C j Y R 6 Q 0 l o f / 6 6 z P 7 d 1 8 M 7 C + / H A p A 1 9 r M 9 9 R W P + b 5 h K 9 s q o / W 8 z L r 4 l 0 S F 2 F x 2 P l Y o B r 4 1 B y A K O U n E 1 i + o / 6 C x i t o H d 0 z k 6 8 J q A B T o 9 2 z R q c n Q K m B d G s a Y 8 w 6 M P f S W m J t m Z W Y w K t U H p n a i D Y b z k 8 c M C H q N 9 U x d w G D B u y 3 H r t 2 x L x G O 6 7 W S w c 7 y a I Z 9 N h O 5 L 6 d 2 m G T b / c u R L s L P 2 6 y h + / M l C B 0 8 k D B 5 B M v 0 V k Q Z k 2 j 0 h U j 0 T z q R L U Y s 6 p Z O x S s j p I d d a v 2 y U H V O o 2 O N F l H r n n d 6 m u Z R e u m 1 V Y t q 6 z q H h 3 D s f a x o 2 7 Z z l Z l O 5 / K t E o r t t d 8 J K f / s Y C K 7 / F m Z 6 P 1 B r O R / U / / 5 6 / s n / 0 v f 2 H / 4 l / / O / v r r y 6 z q 6 x B Y q Y 2 D L 9 0 h o T c 4 R d A A Q J m H B p z l 4 F N t B Q v s V 6 p D W r N v v u H A 2 l Q B m i Z 9 V C c l U 0 T M B + w W p f 2 r s l E V r 6 c J J z M i 8 z G 4 6 G A J B N N / g 0 T Y d N S I i F z I c D M P N i B 6 Y f Q o l 3 5 g / C / S M S 1 u 0 B F J L V e a 7 v p i a X A d J K E b a b C 7 T s T G o r 2 L f p 2 7 0 o E s d j q g J c 9 r F S P m d D V w l / L r n / Q h K R H 2 s T O Y h q R I G O L 5 W M x V F e S E i e V 8 Q z G r j D 3 0 A R y + q U N k J 7 t k j o 9 k Z M v o C A 4 V 0 n J B o u 6 D W U K J N n M b Y i X u v X Y D E U d L H b U U b H F X I x H A T L C / 5 l n 8 9 o w e 5 j x P h Q I O W b y I y J h W S 2 S s V 1 K y s O A M K Y v / e a 7 N A o S H w 3 g M 8 f v I L R E o 9 Q R O B L 5 X Q g Y g c t n f Y e o J t f z B O / X Z e L V m 2 0 X P i g w j 1 p S V Z Z O N Q i 4 i 4 G l H B O Z t w C J 2 R z 7 M v H w z 2 h o N G O l H K K J E O X H p w O c M x / 0 r d h + 4 7 E 0 2 5 5 r t 3 q j r f p J e N D 4 9 y Q H L o V 7 j 0 T 7 i y V U a t U x C 3 z w t s s H Q G V U f K 2 M D D 9 J t Q N b r p h F L U e 9 V b K W p D 0 T S d l K 6 4 r H 9 B z a K J E k n l V H t q h M b W I L u 1 j K J E o w H a + Z s S N t 1 U D S C h j L u f w 0 A Z J J m g y q Q m i a s U y v 0 e x M Q J p J M j f s H / 2 4 a f / l P z i 0 / / z P u / a o d 5 O x i Z R h q v k 8 O D E M U h 1 s Y j I R t e v I H 8 k v f 9 9 G F c a e k r o t K y w o F B S U D u n B 1 H G p A 5 z j A 6 I y X 2 e j x E o C e D I W k g R 4 h A v A b b Q b Q a P U p L F l k + L n N G o t a e P H P q O c g A 1 m H E s 0 A G 2 t G g a V I 2 E S A j i u A a I w + 0 P i D Y 1 W a q q N 1 X b y y b w s W w C y 6 X Q + j / d F j B z E C C 7 b t b H B D 7 k 8 A E p E J 7 w 4 K 8 m h D 7 8 Z U 2 L v 8 k + P S t I q R L M k e c Q c r J F J h T w 3 / R J J J A Z C C T R U x I T l 6 4 H b s s D V r C / V 6 E o 4 p 3 3 c n 5 G D n K z F j N h X Y t 4 Q C K E M g A m z S H 6 b G I t 5 c c x 0 / 8 d / 3 r D / 9 h 9 / b P / N f 9 a z J / v X / h A M h Q b D o e c Z d + z F y F 0 x N G F w / J G V z u 8 i m T H V p q u B m 1 v T 0 c h K k 4 o 1 1 z 2 f R l S X + b o W g P A D c b 7 L V W k z C Z c p U c J G 2 d b V p Q 3 W r y 2 p r n 3 t E D S c n d v J + C s 3 8 w A l Q E J L D e V b A n T K y s F M j f 3 m U 7 X r v t + H 6 Y m G B U j R 9 6 M t 8 E 1 r 4 t p 6 W 3 6 o h B D m 2 3 S 2 O Z g z m i d 2 z p i U m 5 C B w g D 3 + w d V J N V G 5 U T H P g D q i l j B + j c v 5 c 9 E C S 2 T h d 1 C 6 Q d 2 f 8 X S q P f K 9 k x m 2 2 S S 2 o V M v 7 k + P z 8 v 2 + W 6 p n s P B K D A U L X K 0 h 7 1 B 9 I 8 8 i c m 8 m M y H w l g 0 r m V 6 H e I I r v j 7 x D 5 Y i X p Q k w F I c n 3 J f V 7 8 p f 2 2 3 L U m 9 c T Y D E b m Q 4 E g 4 Z 1 T k j J q j M j W o V A w p z Z C R v 8 s z w R i p 4 N g 2 Z t r N s + s D m u n a k c q T X n X W d s t t L y M R 6 W S t S l M X T M 5 E P N x U h o V 2 Z R L J O Z A H Q m U E 5 c y 1 C X i 9 k r P w A 8 U 7 o I M F D j a n n P h p N P b D z b l x D o W k d m n Y / 7 q R p o W c B 3 M T 1 W m z P 1 K y y r Y V Z 9 y i v 5 1 W y 0 Y Y t 3 / B Q I 4 T F f S k s z F J E D E P e z 7 P 5 9 B y Y i k R W y k 4 W X H / R 6 q C L x 1 j 4 Y / f F e z S U m x D j P + T h s X t m V 1 q p J Y 6 0 E p A 7 z 1 s p q w G Z q e 2 L 2 T l 3 M K B s f 5 o F o Z N Y G z R d T a a N U j D q 3 i S Q 2 4 1 a D e d 0 m 6 6 b t d c I U H g h I 4 K i z L o h Z B f g W M S 0 k d J j 1 f u i / n f Q c z I 4 2 C o 7 + 9 X w 9 K A Q q l P Z a I B O A 8 d W i B s n T c i D G L 3 3 j Q Z W y Q L K q B U 0 7 L 4 + t 0 o B x B Q L E L s U M R X X C y n t 5 O Z c 5 l 1 h P 5 U K z h N A 2 2 x Z 3 p K G 7 q u / A 5 z 5 S R 0 z B s K y j p b b q y g K o 2 n 6 r 4 o C j z o A I r V y W U D p o P Q 0 T l t U O 7 V r f I 4 N o 7 2 a 5 K 6 3 M w C s a L l e Y j D y f B i H / M E 6 W J 8 B E + J z j f R F p s s 5 q M B j Y 5 J z Z M u s H Q B X p Y s L 7 c c P W Y r F P c D 4 Z 9 2 F q D u F q g n 8 w V L N b t n Z T D M t o O k R A w c 2 s I A n 5 Z M Y 3 c 9 T O h y e W l J Z K s 2 K r p S S m T B f f L z v r Y B z 0 a 7 N H 5 q I v h Q j L G w i D A 5 6 O m D J S Z B i e K Y I J A p y M 7 c x l G v l C O p h J k r p I i Y Q D e 9 8 R S U s a z K 7 X s 9 I m a G p M X 6 R + Q y A o 0 m I 9 s N P x U A U 4 k Y Z R u V Q c g i N s v t I S Y J o 1 + U x 6 D i 3 L Q k I + K R N r z i 5 m x w J X T W W q 2 H h 5 G Q R I q e b g A Z x o O O 5 l Y J d 2 g V E Z D C e K y t v X G f + 5 D 9 F W L I d n f w i 0 1 X 0 J 4 M S D o Q X W W I 2 k 1 W d z B u d r v s y + 3 W y H Q f P s m Q f K C J e H j S p n 2 e i 3 M 1 Q t t Z 8 + Y 5 s x B n 0 T + Q f M 9 G a y Z k X 3 6 3 v A j 5 h o z 1 p V m U k 6 j y k G I X n X 1 Z l + S + r j y M u E 6 b V 0 N D D r Q h 6 R 8 C s 6 t X 2 f a Y E 0 x 5 E H Y I T C + 4 0 w C J o n I o I x G r e J A u j k a 6 n T W Y W 7 i X y 8 q 3 l i s x o m a t V N M P d r p P l U e Y 8 U v j m b I x W j C + R K n + A N Y A I E L H B s V r r 6 G R g e Q K N V M f U w R d G 0 g I f r g O 9 s + t L B 5 u N 3 E k R E N j 3 S p z / S w / d i n w k i i T z v / u D N J t u Z 7 q O Z y A f g s N 8 9 4 O E A k I N L m Z 4 y 6 1 h W v 3 9 4 a L 2 + 6 s b W Y b S D h K r k z w O g N t F k I d C M V m K k J F v + L C C p s Q Z T F s m V 1 M m 6 q Z S a X A l n J t 4 k Q V / T s A z a M u L P G q l I d F C r 0 7 L 9 z i N j e b u b Q i W Z R y U c 5 5 s c g i a C e X D U O 4 3 9 o K 3 E U F f L S j I i T Y 8 I i u G K a e Q J q b q V 9 F g I E q g S + k c + l B 8 h w B E C A 8 x U y I O W v B j 8 x a 8 b C e 7 s F T E O l 3 S e / S j y x U H T 1 Q Q M t B 1 7 R h D F Z y Y E Q R P M O g d J R j 4 8 k Q k i a J G G I Q C 0 9 F 7 j k d W b L V + t T G T 1 v h S E S z C f w 0 T d a w q z 7 2 W S T y Z u w n E 4 k K T d A R Z a D S 1 0 e H T o q 3 / 5 z V z n O T M k M v I B X p X t A V A b i A D E y S i R T 7 W 0 1 8 O S v R y U 7 V y m 0 X h R 8 j e 3 o 8 X Q T D j 0 a J 5 a Z k W w X o p 9 G t x E u c G E d G j Z D n p P r C 6 z Z q 5 0 Z / M w g J n j p x s E o 4 c d g C T 9 y w U w 6 Q 9 m J G Q e f L 3 A L J u I b b 1 u I z Q C g 8 w E B d h s B o 1 B Q I D Q N V E / A I 0 f F I k Z A Z M l E k X 1 a R 9 K e I S 1 U 8 x 8 o L y Y l Y C M 3 w Q T 6 v i F 8 q 1 Y z M h 1 2 o H f 7 M F x T S X P H 3 M 4 j 0 a P M g q M f k 4 N J V y 5 C v C F f f c k g i d j l W G g c o 0 n A 9 / A Z T w a u e Y B Q F H w A H C 0 G c D p 7 f V 8 D w p M 5 g j I S L i j b Z e o G f n X B 0 B t p H V S k V Z q 2 C + O K / I T w o 6 y v W Y q R / t S U j m 1 5 w c A R M 0 n X m W A D 7 8 K + v K M r c f C + q S i m Q R j f n 0 x t e O x T L m G z B + h b z o b v 3 F f n s r y K / q N x / J J b m 7 W i J k G 4 + N n 4 O z f S l s A C z G T Y W z n Y q I w G 4 S g w k x A Q u O Q R z D d U p 0 L v 6 H h P P F N P G t l X v I S B o G 5 D r O 6 O a e G 4 S k 0 H N o T j R C 0 g v w x / X E / A 9 A 3 i Y F X t D 8 D 0 9 e C C F O x 1 z x y j c 0 k W Y I 6 p Y Y Y X 0 U p z v L e R N Q J D Q N 4 C M q M B h J i Y / m 1 8 u 3 Q M v n N M z H j m I G P C V f c v H I T c R V h m t e w P r c v + / 5 A B V o m Z b u Y B G d + 5 C Z e y b q S V P 0 W 9 j 3 j U + G + S L R / R 6 B 7 P W Q y 7 a a Q L l N w j u X P v B A K l 9 Z t 9 9 3 E G E 0 v / F q R X F K m L K + X m S N N i O 0 e p S h a C R O I A V P M t N t o m + / A m N J i t r B J + c K Z G A Z x H n I T j a 2 N r w M R D D I 7 Y M T I D B c s J X A 8 s q g j D M Y y n h R m Q T D 3 k Q m 6 I f p Y 8 8 1 s u C c S 3 8 O I z U 0 C s A C K a F 4 E L 9 B k r A 1 t H T S H t J j M U J Z o r A X q P O X B c 3 Z 2 Z s c v X 9 r p 6 a m f A z R o n C d H H 9 m j g 6 f W b L R d 6 w C c u B N t B B D p 4 D t x b K N 8 6 W 8 A 7 w F Q d 1 D W V o O Z O l C + k 0 s 2 i a V W L W x h z J g u 5 l + U U n W 1 5 n p d d g Y L p t h N K p X m Y j L M n b F M E K U j q T g c i q E 3 m G W A x w E 3 G N l w M P S D n V B Z u o 6 p C T M T A b u L w j u s b j I w + F 2 J I c f l U 1 s Z s y t C F J H b A J d r F W k b n i O C 2 K h 3 Z F 7 O 7 f O z q f z I k s A M m E L w 4 K D 5 z A 5 a H x n z G S U x S F 2 a Z O j + U k + A Z x k L 7 e H w E P O F N r w W A t Q j N j T 1 4 X r Q c X k q W Z y C R B k B H N H E w e W l b x N 2 f H x s Z w I P I E D z H B w c O E g O D 0 P Q w I M y + g 2 I 2 J Y 6 D w L a G X / p / P z c X i m t 1 6 9 f O w g x A 2 O / F o n 3 7 W 5 8 n 7 f 6 / 4 P f 6 P I 2 w p z j 3 V H x J c X s L h u 7 Y j W V N r r U + X Y p v M 1 Q F 2 h I p H i l n M g 0 O v E l 8 U U C a G i A M N O 8 b o P J q Z U W T X v + 5 A 9 u a B M c Z e x 7 G K d I M A f m y a Z x p S J 9 8 + q F l V t z X 9 q P O c c 4 T 3 s l M 1 H 4 O V 9 / 4 + Y d I W t 8 H 8 b R g u 9 2 U 4 t U B Y j l c t + + O p N P 0 a j a T 5 4 i V F T h 8 M + J j T 1 n 0 g 4 w 4 z A 5 s X K V D U H x s T r u U / k M C G k b z D e 0 F h q v n s 3 0 Y A s B t k E j t Z r A x l 4 T A W h o 5 r B H O e k 6 g w N K f J q l y t A R W B j L 2 E B o K o Q J Y K I m e Z A C l p H 8 J w g A Y u 7 F D T E h 8 q H t f R H m B g 3 P p H + m H s E f e U L r P w D q D v r s U W o / f J x Y S Y 1 c U y v 6 4 j 2 0 j x p v o j 4 5 m Q t Q + w x c J t I 8 h I N L k s o s / W D m w L n N 5 Z f k T R 4 I w 4 D N S Z g q B H O x L K G Z H L k T H M 0 P 5 s f R q T B S k b j u d j / v d N 3 Q 4 X k 6 O Z H J 1 V A Z B J J E z k c 1 l d 9 V 2 r e G G I i 3 G B J Q Q G D H 6 N c m q U z k L 0 3 3 7 f h y z / r N h j 3 p r f 2 + S j m 1 e q 0 u K Z / 6 5 N 2 5 O I 2 3 j l T S E z v s d H 1 M a 5 K O r F 3 Z c / P V p w P p u Q V a U H 8 1 2 l H Z z U o z A a n t 4 3 X j + a X n t 9 9 6 4 v c i 9 W H s p M Q L 7 U L 4 H H D 4 Z i s E h d g Z a g M t l g s 7 u Z C J j d k g 8 1 2 e k u o Z T E f A g + a 6 j f C 5 2 D 6 A v H c l u v n 2 3 n g g A U I m w W o h R g 9 L v O k Q F i D O 0 4 l P i m T Z O F F B J t C W S 4 l H + p z h Z b o c S N L i S + R D w Y F S B y a + E 8 z R r L e s s 9 e y 8 4 v X N p 1 N P A + d D s c G i k y P u Y I m C 7 7 V m 0 C A M K 8 Y 1 8 L n Y l y r L P + H 8 o 1 W Z + r 8 s h 2 1 n + v a Y 9 c k N z 0 A M i / b b N E R W L r S x m 2 B p e K b r V w M Z Q 7 N J z a W 3 f t S Z u C l n P 3 q c m j d y s T N 1 4 X M Q o I u q 4 X A t W D V s A x L C Q a W w L D U Y T C t i t k r d j m V C T t b W 2 P d t X 7 7 0 J 4 e f W y P j u S L d a S F O m W Z b o d W b 1 V k W l + 6 t h 9 I 6 8 e g h c / Q V 9 t v J o G N N l q V B e a + H f W f e l r 7 + / t u D t 4 F J o g w O C a k + 7 7 u 4 2 5 o X 5 0 C 1 G g m g i S s f X u Y K X E H M d Z Q r 6 6 l U d j t K M x J g 6 n w M Z J U J o c a t d M S K / r o v S S h r D D M A S d E v w i z q h h 4 I G Q O m G B i l q P P 1 2 P f C m U 6 k X 8 l E 4 z p Q m 5 + i U F h D k B w T W J M 3 T 1 P w l 7 h b L 0 l 3 e D g 4 Z k 8 Y d 6 0 2 1 0 B i S F Y y t s Q Q 7 F K M v h H 7 s 8 o a S J o z K P D D 6 q W G U S V f z d t 2 e u L A 5 t M Z X 5 J a v S r M 9 v T 0 b S Z t O p M / K w 8 x e C N s p j c o 4 J q K / a F W M p X V C P A 0 8 7 3 m K i d n r W 7 X W n G l o 2 T h l U b T a t J c + 4 1 e t Z g b i M O v c w v T O K w j m v t I G c m x V q m K B E / N D 1 C A J P Z p i o 2 e 5 r f a J d I O q d 8 8 Q t 5 P 9 T m e 2 4 n h N R 0 M f L 9 N R g C w Q T F D K a / H E A 0 F d j 2 S i p 9 u l f n H w B 1 B 7 H I c L a s y i e i U 9 b y C / C B m D Z T s 8 l S z K u G x J 1 Y i B E Z p w J M c V y K j f S 5 D 2 2 E C V g k O g j m Y J Y A o C A x X i 4 2 n 4 c N L D H r 4 q t w g h Y K h P k z L 4 0 E K M a y 9 K y O p Y D F P D d M o j y 5 X 7 N Y 2 n w m A T D X s + r / l Z g 1 Y V H l d C G z d e T X M Y t K 0 l 6 Y b 2 F G N w P a f Z / f d 9 B Y 2 0 f d h f X 1 W Z e Z C H + 6 K J A g w A x m r 3 Q O I q I N q W 1 m d 3 S k B f B 1 e P N H U y D y z U 9 0 D 9 q a F 3 o f d K o q h / w c N C Y A 0 D n G h A E 2 b c W Y F Y P C l b S q g z l 4 a g d G h Z U 5 m p a 9 O Z i 0 e x u x Q Q 1 t + D Z E 3 u P Z h c 2 S g f t + T M 0 i v f K C z o U X R P r K O j n 2 f G e m B J v G 3 F 6 i B 3 J i 0 u z L i 7 K c c n W k Q I I P x U T O P X V o p 6 c m l G R i 6 z d e Y i 0 L 4 I r c 6 l g z n e j A p W R R U s Y Q M j M E g h O u D l J y S X V h p + N v l O f n k p D S M J 3 2 j W d 5 B q b V n f 6 L I z j + b 4 Z 6 Y d b a u m 6 t e t s a H T n f 3 a a 0 R B h 3 4 W C J S V V p t x r y F a p K q y K w V W S e i T U O m m X 7 8 Z H A J B + x 3 5 Z + a 9 a t K Q Y l O t l u t / R 8 Q 2 a v h A u a R W C 6 8 u d y b U B I k f 3 6 8 s s p e G M + w 7 / 1 R H X W I / P y 1 I b L U 5 + t z v Q j E g g D w k N n X V Y + I z z Q U k T 6 v C l u N u V G A h T b C M G x U L 9 t I z R 9 p 9 m 3 w 9 Z z W S c H O H o C k / z b u l p U h + / e y 9 K e i C 8 O 1 S V r g Q e 6 k 9 R g S 5 k 9 z I K I x L p A A m 0 V m X w N I Y m X X 4 f B v n C d K B D a a j g X + B r P B Z y b U T n M Q D q u V W X n 2 m u 7 H l C x e n Y s H 4 N d X g F T f v f X j a R M 4 z I O i O 2 1 1 k O V d 5 R Y V f 7 I v D q y q g B C O q 4 5 A I a 0 y N 7 B I y u 3 K z Z L Z d 7 I L 0 T T M C e x W e 7 Y 0 0 5 i 3 X o i j b C d M T c R U 7 Z u Y k q / c m W L V F 1 X B c i 2 t H B d e e N j z Z V X 0 0 1 e N n B h l e 9 K Q m c p + w r N 2 6 h 0 J A C k c W Q N F G T T R r o t Y H M y T u 2 V 2 m c b 0 e Z Y D 6 w O 4 K V v 9 H + t w 6 J J 5 U 2 y W f 5 Y D t G n h R 4 A t S M B l J 8 9 F 3 P L b 4 C w 8 Z P M Q U b l s x J 3 L T M p H 8 W l 0 + n T 6 U L / p X v 2 u E N o / C a o J O d 8 3 l 5 P U j C v h X C K W 5 2 6 n Q 9 f y 4 f h X b 2 Y U G E 8 h Y 1 d G H g t + k v K x M 2 1 5 U j O 9 F L m U l v X B f L T x Z c 2 W L y 2 o T Q A u u 2 K l B 9 z 8 t h z H O 2 A R G d 1 b M X Y n 5 z x t C A 8 r k u 1 G 2 H 6 3 X x G u R Y A F f c v T 3 D 8 s 1 1 G u S V E R M W 0 M v M A 0 W Q 9 k C 5 D 8 F z P 8 2 M + n + + X d w e h h T Y R b V C t T O x x Y Q X 0 F e m x E n t 9 T B O b n I Q l N L 5 V W b 6 5 s 6 Q B b b 7 f 8 r c 8 0 B 2 k b n b u g v E A V F h d G 0 B V 7 c p / m P G i a t 2 i e / I M 9 H y f v f h K M s n Q V E d X j A F h 4 m C q s f c d y x c 8 g 0 j 6 S s T r m / P f h H c 9 y a n v 9 r r y T 7 q 2 1 + T N F 0 + s L k 0 S n / F 9 L i b y r 1 Z j O 1 t P b L Q E 9 C y N Z 6 o H Z U A L L D 2 E T t n D I C 6 T g C U m 1 k E S j B c T e z 0 a i r P D w O 1 9 i L A 8 A 8 V p + a b k 9 5 Z Q e 1 x H z C C J E g a T d f D O L b Q r Z V q s 5 j 5 E s a Q h s Z / 9 O f 2 W A + g m s s C U z g U w h E V G 1 y 1 9 k z B F i 0 C G q F d f A q q B C U F x i O Y L x + y L s R q o D j p 8 q T 1 + E W 9 1 J C 8 1 R W h H i o R p z 3 u B a b s Q N I r 0 E J S 4 B 1 V k 6 6 / S r w U I n H N 1 i M w 0 J K e T G r w q K b Y a q 4 H 9 V F j Q 5 p d 0 j c F h d j / F X y J C G P 0 d g E k a L J v A n C H a h w T N s 0 m 9 U b X J e C I G w D x i 2 + h x N p e v 6 W u k P A S v + 2 q J / C I B L K n J n J F J s 5 Z D X 0 3 F i C o 3 a e L H k O 9 0 O b D B / M x 3 V R r M Z j a d t Q U k + U R 1 l p k o J W m H j n x E f K t d C S + O L Z u X + p + X w b E f x g 3 J L e b 2 6 + u w 8 x H X K v W G 1 W R 6 l q V 1 4 z g Y T 1 S U d 6 0 k E 1 e M O k 3 w q W g 7 + X 3 + v h 0 9 J x M 1 q g K G L N g M C W w U S x v N M d Z d B b N T J z n 0 T E l C x E P d A q d H 7 O R P U d x K R / 4 g b 0 O R h k Y z Q r 7 t s o g 2 p K 9 o + 4 U E 1 m w + U V o E n u J r Q 8 3 + A x s 8 r 2 8 2 5 i 6 A A A A A A E l F T k S u Q m C C < / I m a g e > < / T o u r > < / T o u r s > < / V i s u a l i z a t i o n > 
</file>

<file path=customXml/itemProps1.xml><?xml version="1.0" encoding="utf-8"?>
<ds:datastoreItem xmlns:ds="http://schemas.openxmlformats.org/officeDocument/2006/customXml" ds:itemID="{F9F58CA3-EB4E-46A6-A5B0-C1856DB5BDCA}">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C86DD62C-05C4-4497-BBE2-859ADE86C3AE}">
  <ds:schemaRefs>
    <ds:schemaRef ds:uri="http://www.w3.org/2001/XMLSchema"/>
    <ds:schemaRef ds:uri="http://microsoft.data.visualization.Client.Excel.LState/1.0"/>
  </ds:schemaRefs>
</ds:datastoreItem>
</file>

<file path=customXml/itemProps3.xml><?xml version="1.0" encoding="utf-8"?>
<ds:datastoreItem xmlns:ds="http://schemas.openxmlformats.org/officeDocument/2006/customXml" ds:itemID="{7DCED80D-14BF-4C09-AFDF-8872F77B7C07}">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1_CostsByArea</vt:lpstr>
      <vt:lpstr>2_SpeciesType</vt:lpstr>
      <vt:lpstr>3_FCRPS</vt:lpstr>
      <vt:lpstr>4_ESASpecies</vt:lpstr>
      <vt:lpstr>5_Fund</vt:lpstr>
      <vt:lpstr>6a_Category</vt:lpstr>
      <vt:lpstr>6b_ArtProd</vt:lpstr>
      <vt:lpstr>7_RME</vt:lpstr>
      <vt:lpstr>8_Province</vt:lpstr>
      <vt:lpstr>9_Location</vt:lpstr>
      <vt:lpstr>10_Contractor</vt:lpstr>
      <vt:lpstr>11_LandPurchases</vt:lpstr>
      <vt:lpstr>12_Cumulative</vt:lpstr>
      <vt:lpstr>'10_Contractor'!Print_Titles</vt:lpstr>
      <vt:lpstr>subtitle</vt:lpstr>
    </vt:vector>
  </TitlesOfParts>
  <Company>Bonneville Power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Lefler</dc:creator>
  <cp:lastModifiedBy>Eric Schrepel</cp:lastModifiedBy>
  <cp:lastPrinted>2017-04-27T16:31:20Z</cp:lastPrinted>
  <dcterms:created xsi:type="dcterms:W3CDTF">2004-12-27T17:27:22Z</dcterms:created>
  <dcterms:modified xsi:type="dcterms:W3CDTF">2017-10-10T18:29:21Z</dcterms:modified>
</cp:coreProperties>
</file>